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228" windowWidth="15480" windowHeight="10128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<sst xmlns="http://schemas.openxmlformats.org/spreadsheetml/2006/main" count="328" uniqueCount="225">
  <si>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</si>
  <si>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</si>
  <si>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</si>
  <si>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</si>
  <si>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</si>
  <si>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</si>
  <si>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</si>
  <si>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</si>
  <si>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</si>
  <si>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</si>
  <si>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</si>
  <si>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</si>
  <si>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</si>
  <si>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</si>
  <si>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</si>
  <si>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</si>
  <si>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</si>
  <si>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</si>
  <si>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</si>
  <si>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</si>
  <si>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</si>
  <si>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</si>
  <si>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</si>
  <si>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</si>
  <si>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</si>
  <si>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</si>
  <si>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</si>
  <si>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</si>
  <si>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</si>
  <si>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</si>
  <si>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</si>
  <si>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</si>
  <si>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</si>
  <si>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</si>
  <si>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</si>
  <si>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</si>
  <si>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</si>
  <si>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</si>
  <si>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</si>
  <si>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</si>
  <si>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</si>
  <si>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</si>
  <si>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</si>
  <si>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</si>
  <si>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</si>
  <si>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</si>
  <si>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</si>
  <si>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</si>
  <si>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</si>
  <si>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</si>
  <si>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</si>
  <si>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</si>
  <si>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</si>
  <si>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</si>
  <si>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</si>
  <si>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</si>
  <si>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</si>
  <si>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</si>
  <si>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</si>
  <si>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</si>
  <si>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</si>
  <si>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</si>
  <si>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</si>
  <si>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</si>
  <si>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</si>
  <si>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</si>
  <si>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</si>
  <si>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</si>
  <si>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</si>
  <si>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</si>
  <si>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</si>
  <si>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</si>
  <si>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</si>
  <si>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</si>
  <si>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</si>
  <si>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</si>
  <si>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</si>
  <si>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</si>
  <si>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</si>
  <si>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</si>
  <si>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</si>
  <si>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</si>
  <si>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</si>
  <si>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</si>
  <si>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</si>
  <si>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</si>
  <si>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</si>
  <si>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</si>
  <si>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</si>
  <si>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</si>
  <si>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</si>
  <si>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</si>
  <si>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</si>
  <si>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</si>
  <si>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</si>
  <si>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</si>
  <si>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</si>
  <si>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</si>
  <si>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</si>
  <si>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</si>
  <si>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</si>
  <si>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</si>
  <si>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</si>
  <si>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</si>
  <si>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</si>
  <si>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</si>
  <si>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</si>
  <si>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</si>
  <si>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</si>
  <si>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</si>
  <si>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</si>
  <si>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</si>
  <si>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</si>
  <si>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</si>
  <si>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</si>
  <si>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</si>
  <si>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</si>
  <si>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</si>
  <si>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</si>
  <si>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</si>
  <si>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</si>
  <si>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</si>
  <si>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</si>
  <si>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</si>
  <si>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</si>
  <si>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</si>
  <si>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</si>
  <si>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</si>
  <si>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</si>
  <si>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</si>
  <si>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</si>
  <si>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</si>
  <si>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</si>
  <si>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</si>
  <si>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</si>
  <si>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</si>
  <si>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</si>
  <si>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</si>
  <si>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</si>
  <si>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</si>
  <si>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</si>
  <si>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</si>
  <si>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</si>
  <si>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</si>
  <si>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</si>
  <si>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</si>
  <si>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</si>
  <si>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</si>
  <si>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</si>
  <si>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</si>
  <si>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</si>
  <si>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</si>
  <si>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</si>
  <si>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</si>
  <si>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</si>
  <si>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</si>
  <si>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</si>
  <si>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</si>
  <si>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</si>
  <si>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</si>
  <si>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</si>
  <si>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</si>
  <si>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</si>
  <si>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</si>
  <si>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</si>
  <si>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</si>
  <si>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</si>
  <si>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</si>
  <si>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</si>
  <si>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</si>
  <si>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</si>
  <si>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</si>
  <si>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</si>
  <si>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</si>
  <si>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</si>
  <si>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</si>
  <si>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</si>
  <si>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</si>
  <si>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</si>
  <si>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</si>
  <si>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</si>
  <si>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</si>
  <si>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</si>
  <si>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</si>
  <si>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</si>
  <si>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</si>
  <si>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</si>
  <si>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</si>
  <si>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</si>
  <si>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</si>
  <si>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</si>
  <si>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</si>
  <si>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</si>
  <si>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</si>
  <si>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</si>
  <si>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</si>
  <si>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</si>
  <si>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</si>
  <si>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</si>
  <si>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</si>
  <si>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</si>
  <si>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</si>
  <si>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</si>
  <si>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</si>
  <si>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</si>
  <si>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</si>
  <si>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</si>
  <si>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</si>
  <si>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</si>
  <si>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</si>
  <si>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</si>
  <si>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</si>
  <si>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</si>
  <si>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</si>
  <si>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</si>
  <si>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</si>
  <si>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</si>
  <si>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</si>
  <si>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 Round 2"</t>
  </si>
  <si>
    <t>Bob Dickenson</t>
  </si>
  <si>
    <t>Jon Edison</t>
  </si>
  <si>
    <t>Peter Gunning</t>
  </si>
  <si>
    <t>Steve Haley</t>
  </si>
  <si>
    <t>Mark Treble</t>
  </si>
  <si>
    <t>Rich Bago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</si>
</sst>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2" fontId="4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2" fontId="3" fillId="7" borderId="21" xfId="0" applyNumberFormat="1" applyFont="1" applyFill="1" applyBorder="1" applyAlignment="1" applyProtection="1">
      <alignment/>
      <protection hidden="1"/>
    </xf>
    <xf numFmtId="0" fontId="3" fillId="7" borderId="21" xfId="0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0" fontId="4" fillId="7" borderId="13" xfId="0" applyFont="1" applyFill="1" applyBorder="1" applyAlignment="1" applyProtection="1">
      <alignment horizontal="right"/>
      <protection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2" fontId="3" fillId="7" borderId="17" xfId="61" applyFont="1" applyFill="1" applyBorder="1" applyAlignment="1">
      <alignment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514350</xdr:colOff>
      <xdr:row>3</xdr:row>
      <xdr:rowOff>85725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523875</xdr:colOff>
      <xdr:row>7</xdr:row>
      <xdr:rowOff>152400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523875</xdr:colOff>
      <xdr:row>10</xdr:row>
      <xdr:rowOff>19050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514350</xdr:colOff>
      <xdr:row>5</xdr:row>
      <xdr:rowOff>104775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285750</xdr:colOff>
      <xdr:row>3</xdr:row>
      <xdr:rowOff>85725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285750</xdr:colOff>
      <xdr:row>5</xdr:row>
      <xdr:rowOff>123825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285750</xdr:colOff>
      <xdr:row>7</xdr:row>
      <xdr:rowOff>152400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114300</xdr:colOff>
      <xdr:row>3</xdr:row>
      <xdr:rowOff>76200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10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43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0" sqref="A40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4+99-COUNTIF(B5:B39,"")</f>
        <v>74</v>
      </c>
      <c r="C1" s="44"/>
      <c r="D1" s="45">
        <f ca="1">MIN(INDIRECT(EQ1,TRUE))</f>
        <v>48.02</v>
      </c>
      <c r="F1" s="46">
        <f>IF($C$2&lt;4,"",IF(AND($C$2&gt;=4,$C$2&lt;15),1,2))</f>
        <v>1</v>
      </c>
      <c r="G1">
        <f>MIN(G5:G39)</f>
        <v>61.73</v>
      </c>
      <c r="J1" s="46" t="str">
        <f>ADDRESS(B1,COLUMN()+1,4,1)</f>
        <v>K74</v>
      </c>
      <c r="M1" s="46" t="str">
        <f>ADDRESS(B1,COLUMN()-1,4,1)</f>
        <v>L74</v>
      </c>
      <c r="N1" s="49">
        <f>MIN(N5:N39)</f>
        <v>48.02</v>
      </c>
      <c r="Q1" s="46" t="str">
        <f>ADDRESS(B1,COLUMN()+1,4,1)</f>
        <v>R74</v>
      </c>
      <c r="T1" s="46" t="str">
        <f>ADDRESS(B1,COLUMN()-1,4,1)</f>
        <v>S74</v>
      </c>
      <c r="U1" s="49">
        <f>MIN(U5:U39)</f>
        <v>61.4</v>
      </c>
      <c r="X1" s="46" t="str">
        <f>ADDRESS(B1,COLUMN()+1,4,1)</f>
        <v>Y74</v>
      </c>
      <c r="Z1" s="50"/>
      <c r="AA1" s="46" t="str">
        <f>ADDRESS(B1,COLUMN()-1,4,1)</f>
        <v>Z74</v>
      </c>
      <c r="AB1" s="49">
        <f>MIN(AB5:AB39)</f>
        <v>58.28</v>
      </c>
      <c r="AD1" s="48"/>
      <c r="AE1" s="46" t="str">
        <f>ADDRESS(B1,COLUMN()+1,4,1)</f>
        <v>AF74</v>
      </c>
      <c r="AG1" s="50"/>
      <c r="AH1" s="46" t="str">
        <f>ADDRESS(B1,COLUMN()-1,4,1)</f>
        <v>AG74</v>
      </c>
      <c r="AI1" s="49">
        <f>MIN(AI5:AI39)</f>
        <v>54.98</v>
      </c>
      <c r="AK1" s="48"/>
      <c r="AL1" s="46" t="str">
        <f>ADDRESS(B1,COLUMN()+1,4,1)</f>
        <v>AM74</v>
      </c>
      <c r="AN1" s="50"/>
      <c r="AO1" s="46" t="str">
        <f>ADDRESS(B1,COLUMN()-1,4,1)</f>
        <v>AN74</v>
      </c>
      <c r="AP1" s="49">
        <f>MIN(AP5:AP39)</f>
        <v>61.69</v>
      </c>
      <c r="AR1" s="48"/>
      <c r="AS1" s="46" t="str">
        <f>ADDRESS(B1,COLUMN()+1,4,1)</f>
        <v>AT74</v>
      </c>
      <c r="AU1" s="50"/>
      <c r="AV1" s="46" t="str">
        <f>ADDRESS(B1,COLUMN()-1,4,1)</f>
        <v>AU74</v>
      </c>
      <c r="AW1" s="49">
        <f>MIN(AW5:AW39)</f>
        <v>54.65</v>
      </c>
      <c r="AY1" s="48"/>
      <c r="AZ1" s="46" t="str">
        <f>ADDRESS(B1,COLUMN()+1,4,1)</f>
        <v>BA74</v>
      </c>
      <c r="BB1" s="50"/>
      <c r="BC1" s="46" t="str">
        <f>ADDRESS(B1,COLUMN()-1,4,1)</f>
        <v>BB74</v>
      </c>
      <c r="BD1" s="49">
        <f>MIN(BD5:BD39)</f>
        <v>60.5</v>
      </c>
      <c r="BF1" s="48"/>
      <c r="BG1" s="46" t="str">
        <f>ADDRESS(B1,COLUMN()+1,4,1)</f>
        <v>BH74</v>
      </c>
      <c r="BI1" s="50"/>
      <c r="BJ1" s="46" t="str">
        <f>ADDRESS(B1,COLUMN()-1,4,1)</f>
        <v>BI74</v>
      </c>
      <c r="BK1" s="49">
        <f>MIN(BK5:BK39)</f>
        <v>0</v>
      </c>
      <c r="BM1" s="48"/>
      <c r="BN1" s="46" t="str">
        <f>ADDRESS(B1,COLUMN()+1,4,1)</f>
        <v>BO74</v>
      </c>
      <c r="BP1" s="50"/>
      <c r="BQ1" s="46" t="str">
        <f>ADDRESS(B1,COLUMN()-1,4,1)</f>
        <v>BP74</v>
      </c>
      <c r="BR1" s="49">
        <f>MIN(BR5:BR39)</f>
        <v>0</v>
      </c>
      <c r="BT1" s="48"/>
      <c r="BU1" s="46" t="str">
        <f>ADDRESS(B1,COLUMN()+1,4,1)</f>
        <v>BV74</v>
      </c>
      <c r="BW1" s="50"/>
      <c r="BX1" s="46" t="str">
        <f>ADDRESS(B1,COLUMN()-1,4,1)</f>
        <v>BW74</v>
      </c>
      <c r="BY1" s="49">
        <f>MIN(BY5:BY39)</f>
        <v>0</v>
      </c>
      <c r="CA1" s="48"/>
      <c r="CB1" s="46" t="str">
        <f>ADDRESS(B1,COLUMN()+1,4,1)</f>
        <v>CC74</v>
      </c>
      <c r="CD1" s="50"/>
      <c r="CE1" s="46" t="str">
        <f>ADDRESS(B1,COLUMN()-1,4,1)</f>
        <v>CD74</v>
      </c>
      <c r="CF1" s="49">
        <f>MIN(CF5:CF39)</f>
        <v>0</v>
      </c>
      <c r="CH1" s="48"/>
      <c r="CI1" s="46" t="str">
        <f>ADDRESS(B1,COLUMN()+1,4,1)</f>
        <v>CJ74</v>
      </c>
      <c r="CK1" s="50"/>
      <c r="CL1" s="46" t="str">
        <f>ADDRESS(B1,COLUMN()-1,4,1)</f>
        <v>CK74</v>
      </c>
      <c r="CM1" s="49">
        <f>MIN(CM5:CM39)</f>
        <v>0</v>
      </c>
      <c r="CO1" s="48"/>
      <c r="CP1" s="46" t="str">
        <f>ADDRESS(B1,COLUMN()+1,4,1)</f>
        <v>CQ74</v>
      </c>
      <c r="CR1" s="50"/>
      <c r="CS1" s="46" t="str">
        <f>ADDRESS(B1,COLUMN()-1,4,1)</f>
        <v>CR74</v>
      </c>
      <c r="CT1" s="49">
        <f>MIN(CT5:CT39)</f>
        <v>0</v>
      </c>
      <c r="CV1" s="48"/>
      <c r="CW1" s="46" t="str">
        <f>ADDRESS(B1,COLUMN()+1,4,1)</f>
        <v>CX74</v>
      </c>
      <c r="CY1" s="50"/>
      <c r="CZ1" s="46" t="str">
        <f>ADDRESS(B1,COLUMN()-1,4,1)</f>
        <v>CY74</v>
      </c>
      <c r="DA1" s="49">
        <f>MIN(DA5:DA39)</f>
        <v>0</v>
      </c>
      <c r="DC1" s="48"/>
      <c r="DD1" s="46" t="str">
        <f>ADDRESS(B1,COLUMN()+1,4,1)</f>
        <v>DE74</v>
      </c>
      <c r="DF1" s="50"/>
      <c r="DG1" s="46" t="str">
        <f>ADDRESS(B1,COLUMN()-1,4,1)</f>
        <v>DF74</v>
      </c>
      <c r="DH1" s="49">
        <f>MIN(DH5:DH39)</f>
        <v>0</v>
      </c>
      <c r="DJ1" s="48"/>
      <c r="DK1" s="46" t="str">
        <f>ADDRESS(B1,COLUMN()+1,4,1)</f>
        <v>DL74</v>
      </c>
      <c r="DM1" s="50"/>
      <c r="DN1" s="46" t="str">
        <f>ADDRESS(B1,COLUMN()-1,4,1)</f>
        <v>DM74</v>
      </c>
      <c r="DO1" s="49">
        <f>MIN(DO5:DO39)</f>
        <v>0</v>
      </c>
      <c r="DQ1" s="48"/>
      <c r="DR1" s="46" t="str">
        <f>ADDRESS(B1,COLUMN()+1,4,1)</f>
        <v>DS74</v>
      </c>
      <c r="DT1" s="50"/>
      <c r="DU1" s="46" t="str">
        <f>ADDRESS(B1,COLUMN()-1,4,1)</f>
        <v>DT74</v>
      </c>
      <c r="DV1" s="49">
        <f>MIN(DV5:DV39)</f>
        <v>0</v>
      </c>
      <c r="DX1" s="48"/>
      <c r="DY1" s="46" t="str">
        <f>ADDRESS(B1,COLUMN()+1,4,1)</f>
        <v>DZ74</v>
      </c>
      <c r="EA1" s="50"/>
      <c r="EB1" s="46" t="str">
        <f>ADDRESS(B1,COLUMN()-1,4,1)</f>
        <v>EA74</v>
      </c>
      <c r="EC1" s="49">
        <f>MIN(EC5:EC39)</f>
        <v>0</v>
      </c>
      <c r="EE1" s="48"/>
      <c r="EF1" s="46" t="str">
        <f>ADDRESS(B1,COLUMN()+1,4,1)</f>
        <v>EG74</v>
      </c>
      <c r="EH1" s="50"/>
      <c r="EI1" s="46" t="str">
        <f>ADDRESS(B1,COLUMN()-1,4,1)</f>
        <v>EH74</v>
      </c>
      <c r="EJ1" s="49">
        <f>MIN(EJ5:EJ39)</f>
        <v>0</v>
      </c>
      <c r="EL1" s="48"/>
      <c r="EM1" s="46" t="str">
        <f>ADDRESS(B1,COLUMN()+1,4,1)</f>
        <v>EN74</v>
      </c>
      <c r="EO1" s="50"/>
      <c r="EP1" s="46" t="str">
        <f>ADDRESS(B1,COLUMN()-1,4,1)</f>
        <v>EO74</v>
      </c>
      <c r="EQ1" s="51" t="str">
        <f>ADDRESS(ROW(),COLUMN()+1,1,TRUE)&amp;":"&amp;ADDRESS(ROW(),COLUMN()+$C$2,1,TRUE)</f>
        <v>$ER$1:$EY$1</v>
      </c>
      <c r="ER1" s="50">
        <f>G1</f>
        <v>61.73</v>
      </c>
      <c r="ES1" s="50">
        <f>N1</f>
        <v>48.02</v>
      </c>
      <c r="ET1" s="50">
        <f>U1</f>
        <v>61.4</v>
      </c>
      <c r="EU1" s="50">
        <f>AB1</f>
        <v>58.28</v>
      </c>
      <c r="EV1" s="50">
        <f>AI1</f>
        <v>54.98</v>
      </c>
      <c r="EW1" s="50">
        <f>AP1</f>
        <v>61.69</v>
      </c>
      <c r="EX1" s="50">
        <f>AW1</f>
        <v>54.65</v>
      </c>
      <c r="EY1" s="50">
        <f>BD1</f>
        <v>60.5</v>
      </c>
      <c r="EZ1" s="50">
        <f>BK1</f>
        <v>0</v>
      </c>
      <c r="FA1" s="50">
        <f>BR1</f>
        <v>0</v>
      </c>
      <c r="FB1" s="50">
        <f>BY1</f>
        <v>0</v>
      </c>
      <c r="FC1" s="50">
        <f>CF1</f>
        <v>0</v>
      </c>
      <c r="FD1" s="50">
        <f>CM1</f>
        <v>0</v>
      </c>
      <c r="FE1" s="50">
        <f>CT1</f>
        <v>0</v>
      </c>
      <c r="FF1" s="50">
        <f>DA1</f>
        <v>0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$GO$1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HB74</v>
      </c>
    </row>
    <row r="2" spans="2:211" s="54" customFormat="1" ht="12.75">
      <c r="B2" s="54" t="s">
        <v>69</v>
      </c>
      <c r="C2" s="54">
        <f>NumberOfRoundsFlown(Rawdata)</f>
        <v>8</v>
      </c>
      <c r="G2" s="127" t="str">
        <f>"Round 1 "&amp;IF(GH1&gt;0,"("&amp;GH1&amp;IF(GH1&gt;1," Discards"," Discard")&amp;" Active)","")</f>
        <v>Round 1 </v>
      </c>
      <c r="H2" s="128"/>
      <c r="I2" s="128"/>
      <c r="J2" s="128"/>
      <c r="K2" s="128"/>
      <c r="L2" s="128"/>
      <c r="M2" s="128"/>
      <c r="N2" s="127" t="str">
        <f>"Round 2 "&amp;IF(GI1&gt;0,"("&amp;GI1&amp;IF(GI1&gt;1," Discards"," Discard")&amp;" Active)","")</f>
        <v>Round 2 </v>
      </c>
      <c r="O2" s="128"/>
      <c r="P2" s="128"/>
      <c r="Q2" s="128"/>
      <c r="R2" s="128"/>
      <c r="S2" s="128"/>
      <c r="T2" s="128"/>
      <c r="U2" s="121" t="str">
        <f>"Round 3 "&amp;IF(GJ1&gt;0,"("&amp;GJ1&amp;IF(GJ1&gt;1," Discards"," Discard")&amp;" Active)","")</f>
        <v>Round 3 </v>
      </c>
      <c r="V2" s="122"/>
      <c r="W2" s="122"/>
      <c r="X2" s="122"/>
      <c r="Y2" s="122"/>
      <c r="Z2" s="122"/>
      <c r="AA2" s="122"/>
      <c r="AB2" s="121" t="str">
        <f>"Round 4 "&amp;IF(GK1&gt;0,"("&amp;GK1&amp;IF(GK1&gt;1," Discards"," Discard")&amp;" Active)","")</f>
        <v>Round 4 (1 Discard Active)</v>
      </c>
      <c r="AC2" s="122"/>
      <c r="AD2" s="122"/>
      <c r="AE2" s="122"/>
      <c r="AF2" s="122"/>
      <c r="AG2" s="122"/>
      <c r="AH2" s="122"/>
      <c r="AI2" s="121" t="str">
        <f>"Round 5 "&amp;IF(GL1&gt;0,"("&amp;GL1&amp;IF(GL1&gt;1," Discards"," Discard")&amp;" Active)","")</f>
        <v>Round 5 (1 Discard Active)</v>
      </c>
      <c r="AJ2" s="122"/>
      <c r="AK2" s="122"/>
      <c r="AL2" s="122"/>
      <c r="AM2" s="122"/>
      <c r="AN2" s="122"/>
      <c r="AO2" s="122"/>
      <c r="AP2" s="121" t="str">
        <f>"Round 6 "&amp;IF(GM1&gt;0,"("&amp;GM1&amp;IF(GM1&gt;1," Discards"," Discard")&amp;" Active)","")</f>
        <v>Round 6 (1 Discard Active)</v>
      </c>
      <c r="AQ2" s="122"/>
      <c r="AR2" s="122"/>
      <c r="AS2" s="122"/>
      <c r="AT2" s="122"/>
      <c r="AU2" s="122"/>
      <c r="AV2" s="122"/>
      <c r="AW2" s="121" t="str">
        <f>"Round 7 "&amp;IF(GN1&gt;0,"("&amp;GN1&amp;IF(GN1&gt;1," Discards"," Discard")&amp;" Active)","")</f>
        <v>Round 7 (1 Discard Active)</v>
      </c>
      <c r="AX2" s="122"/>
      <c r="AY2" s="122"/>
      <c r="AZ2" s="122"/>
      <c r="BA2" s="122"/>
      <c r="BB2" s="122"/>
      <c r="BC2" s="122"/>
      <c r="BD2" s="121" t="str">
        <f>"Round 8 "&amp;IF(GO1&gt;0,"("&amp;GO1&amp;IF(GQ1&gt;1," Discards"," Discard")&amp;" Active)","")</f>
        <v>Round 8 (1 Discard Active)</v>
      </c>
      <c r="BE2" s="122"/>
      <c r="BF2" s="122"/>
      <c r="BG2" s="122"/>
      <c r="BH2" s="122"/>
      <c r="BI2" s="122"/>
      <c r="BJ2" s="122"/>
      <c r="BK2" s="121" t="str">
        <f>"Round 9 "&amp;IF(GP1&gt;0,"("&amp;GP1&amp;IF(GP1&gt;1," Discards"," Discard")&amp;" Active)","")</f>
        <v>Round 9 (1 Discard Active)</v>
      </c>
      <c r="BL2" s="122"/>
      <c r="BM2" s="122"/>
      <c r="BN2" s="122"/>
      <c r="BO2" s="122"/>
      <c r="BP2" s="122"/>
      <c r="BQ2" s="122"/>
      <c r="BR2" s="121" t="str">
        <f>"Round 10 "&amp;IF(GQ1&gt;0,"("&amp;GQ1&amp;IF(GQ1&gt;1," Discards"," Discard")&amp;" Active)","")</f>
        <v>Round 10 (1 Discard Active)</v>
      </c>
      <c r="BS2" s="122"/>
      <c r="BT2" s="122"/>
      <c r="BU2" s="122"/>
      <c r="BV2" s="122"/>
      <c r="BW2" s="122"/>
      <c r="BX2" s="122"/>
      <c r="BY2" s="121" t="str">
        <f>"Round 11 "&amp;IF(GR1&gt;0,"("&amp;GR1&amp;IF(GR1&gt;1," Discards"," Discard")&amp;" Active)","")</f>
        <v>Round 11 (1 Discard Active)</v>
      </c>
      <c r="BZ2" s="122"/>
      <c r="CA2" s="122"/>
      <c r="CB2" s="122"/>
      <c r="CC2" s="122"/>
      <c r="CD2" s="122"/>
      <c r="CE2" s="122"/>
      <c r="CF2" s="121" t="str">
        <f>"Round 12 "&amp;IF(GS1&gt;0,"("&amp;GS1&amp;IF(GS1&gt;1," Discards"," Discard")&amp;" Active)","")</f>
        <v>Round 12 (1 Discard Active)</v>
      </c>
      <c r="CG2" s="122"/>
      <c r="CH2" s="122"/>
      <c r="CI2" s="122"/>
      <c r="CJ2" s="122"/>
      <c r="CK2" s="122"/>
      <c r="CL2" s="122"/>
      <c r="CM2" s="121" t="str">
        <f>"Round 13 "&amp;IF(GT1&gt;0,"("&amp;GT1&amp;IF(GT1&gt;1," Discards"," Discard")&amp;" Active)","")</f>
        <v>Round 13 (1 Discard Active)</v>
      </c>
      <c r="CN2" s="122"/>
      <c r="CO2" s="122"/>
      <c r="CP2" s="122"/>
      <c r="CQ2" s="122"/>
      <c r="CR2" s="122"/>
      <c r="CS2" s="122"/>
      <c r="CT2" s="121" t="str">
        <f>"Round 14 "&amp;IF(GU1&gt;0,"("&amp;GU1&amp;IF(GU1&gt;1," Discards"," Discard")&amp;" Active)","")</f>
        <v>Round 14 (1 Discard Active)</v>
      </c>
      <c r="CU2" s="122"/>
      <c r="CV2" s="122"/>
      <c r="CW2" s="122"/>
      <c r="CX2" s="122"/>
      <c r="CY2" s="122"/>
      <c r="CZ2" s="122"/>
      <c r="DA2" s="121" t="str">
        <f>"Round 15 "&amp;IF(GV1&gt;0,"("&amp;GV1&amp;IF(GV1&gt;1," Discards"," Discard")&amp;" Active)","")</f>
        <v>Round 15 (2 Discards Active)</v>
      </c>
      <c r="DB2" s="122"/>
      <c r="DC2" s="122"/>
      <c r="DD2" s="122"/>
      <c r="DE2" s="122"/>
      <c r="DF2" s="122"/>
      <c r="DG2" s="122"/>
      <c r="DH2" s="121" t="str">
        <f>"Round 16 "&amp;IF(GW1&gt;0,"("&amp;GW1&amp;IF(GW1&gt;1," Discards"," Discard")&amp;" Active)","")</f>
        <v>Round 16 (2 Discards Active)</v>
      </c>
      <c r="DI2" s="122"/>
      <c r="DJ2" s="122"/>
      <c r="DK2" s="122"/>
      <c r="DL2" s="122"/>
      <c r="DM2" s="122"/>
      <c r="DN2" s="122"/>
      <c r="DO2" s="121" t="str">
        <f>"Round 17 "&amp;IF(GX1&gt;0,"("&amp;GX1&amp;IF(GX1&gt;1," Discards"," Discard")&amp;" Active)","")</f>
        <v>Round 17 (2 Discards Active)</v>
      </c>
      <c r="DP2" s="122"/>
      <c r="DQ2" s="122"/>
      <c r="DR2" s="122"/>
      <c r="DS2" s="122"/>
      <c r="DT2" s="122"/>
      <c r="DU2" s="122"/>
      <c r="DV2" s="121" t="str">
        <f>"Round 18 "&amp;IF(GY1&gt;0,"("&amp;GY1&amp;IF(GY1&gt;1," Discards"," Discard")&amp;" Active)","")</f>
        <v>Round 18 (2 Discards Active)</v>
      </c>
      <c r="DW2" s="122"/>
      <c r="DX2" s="122"/>
      <c r="DY2" s="122"/>
      <c r="DZ2" s="122"/>
      <c r="EA2" s="122"/>
      <c r="EB2" s="122"/>
      <c r="EC2" s="121" t="str">
        <f>"Round 19 "&amp;IF(GZ1&gt;0,"("&amp;GZ1&amp;IF(GZ1&gt;1," Discards"," Discard")&amp;" Active)","")</f>
        <v>Round 19 (2 Discards Active)</v>
      </c>
      <c r="ED2" s="121"/>
      <c r="EE2" s="121"/>
      <c r="EF2" s="121"/>
      <c r="EG2" s="121"/>
      <c r="EH2" s="121"/>
      <c r="EI2" s="121"/>
      <c r="EJ2" s="121" t="str">
        <f>"Round 20 "&amp;IF(HA1&gt;0,"("&amp;HA1&amp;IF(HA1&gt;1," Discards"," Discard")&amp;" Active)","")</f>
        <v>Round 20 (2 Discards Active)</v>
      </c>
      <c r="EK2" s="122"/>
      <c r="EL2" s="122"/>
      <c r="EM2" s="122"/>
      <c r="EN2" s="122"/>
      <c r="EO2" s="122"/>
      <c r="EP2" s="122"/>
      <c r="EQ2" s="55"/>
      <c r="ER2" s="54" t="str">
        <f ca="1">INDIRECT("R"&amp;4+MATCH(G1,G5:G39,0)&amp;"C2",FALSE)</f>
        <v>Steve Haley</v>
      </c>
      <c r="ES2" s="54" t="str">
        <f ca="1">INDIRECT("R"&amp;4+MATCH(N1,N5:N39,0)&amp;"C2",FALSE)</f>
        <v>Rich Bago</v>
      </c>
      <c r="ET2" s="54" t="str">
        <f ca="1">INDIRECT("R"&amp;4+MATCH(U1,U5:U39,0)&amp;"C2",FALSE)</f>
        <v>Steve Haley</v>
      </c>
      <c r="EU2" s="54" t="str">
        <f ca="1">INDIRECT("R"&amp;4+MATCH(AB1,AB5:AB39,0)&amp;"C2",FALSE)</f>
        <v>Peter Gunning</v>
      </c>
      <c r="EV2" s="54" t="str">
        <f ca="1">INDIRECT("R"&amp;4+MATCH(AI1,AI5:AI39,0)&amp;"C2",FALSE)</f>
        <v>Peter Gunning</v>
      </c>
      <c r="EW2" s="54" t="str">
        <f ca="1">INDIRECT("R"&amp;4+MATCH(AP1,AP5:AP39,0)&amp;"C2",FALSE)</f>
        <v>Rich Bago</v>
      </c>
      <c r="EX2" s="54" t="str">
        <f ca="1">INDIRECT("R"&amp;4+MATCH(AW1,AW5:AW39,0)&amp;"C2",FALSE)</f>
        <v>Peter Gunning</v>
      </c>
      <c r="EY2" s="54" t="str">
        <f ca="1">INDIRECT("R"&amp;4+MATCH(BD1,BD5:BD39,0)&amp;"C2",FALSE)</f>
        <v>Rich Bago</v>
      </c>
      <c r="EZ2" s="54" t="e">
        <f ca="1">INDIRECT("R"&amp;4+MATCH(BK1,BK5:BK39,0)&amp;"C2",FALSE)</f>
        <v>#N/A</v>
      </c>
      <c r="FA2" s="54" t="e">
        <f ca="1">INDIRECT("R"&amp;4+MATCH(BR1,BR5:BR39,0)&amp;"C2",FALSE)</f>
        <v>#N/A</v>
      </c>
      <c r="FB2" s="54" t="e">
        <f ca="1">INDIRECT("R"&amp;4+MATCH(BY1,BY5:BY39,0)&amp;"C2",FALSE)</f>
        <v>#N/A</v>
      </c>
      <c r="FC2" s="54" t="e">
        <f ca="1">INDIRECT("R"&amp;4+MATCH(CF1,CF5:CF39,0)&amp;"C2",FALSE)</f>
        <v>#N/A</v>
      </c>
      <c r="FD2" s="54" t="e">
        <f ca="1">INDIRECT("R"&amp;4+MATCH(CM1,CM5:CM39,0)&amp;"C2",FALSE)</f>
        <v>#N/A</v>
      </c>
      <c r="FE2" s="54" t="e">
        <f ca="1">INDIRECT("R"&amp;4+MATCH(CT1,CT5:CT39,0)&amp;"C2",FALSE)</f>
        <v>#N/A</v>
      </c>
      <c r="FF2" s="54" t="e">
        <f ca="1">INDIRECT("R"&amp;4+MATCH(DA1,DA5:DA39,0)&amp;"C2",FALSE)</f>
        <v>#N/A</v>
      </c>
      <c r="FG2" s="54" t="e">
        <f ca="1">INDIRECT("R"&amp;4+MATCH(DH1,DH5:DH39,0)&amp;"C2",FALSE)</f>
        <v>#N/A</v>
      </c>
      <c r="FH2" s="54" t="e">
        <f ca="1">INDIRECT("R"&amp;4+MATCH(DO1,DO5:DO39,0)&amp;"C2",FALSE)</f>
        <v>#N/A</v>
      </c>
      <c r="FI2" s="54" t="e">
        <f ca="1">INDIRECT("R"&amp;4+MATCH(DV1,DV5:DV39,0)&amp;"C2",FALSE)</f>
        <v>#N/A</v>
      </c>
      <c r="FJ2" s="54" t="e">
        <f ca="1">INDIRECT("R"&amp;4+MATCH(EC1,EC5:EC39,0)&amp;"C2",FALSE)</f>
        <v>#N/A</v>
      </c>
      <c r="FK2" s="54" t="e">
        <f ca="1">INDIRECT("R"&amp;4+MATCH(EJ1,EJ5:EJ39,0)&amp;"C2",FALSE)</f>
        <v>#N/A</v>
      </c>
      <c r="HB2" s="56"/>
      <c r="HC2" s="57"/>
    </row>
    <row r="3" spans="1:211" s="55" customFormat="1" ht="12.75">
      <c r="A3" s="58"/>
      <c r="B3" s="123" t="str">
        <f ca="1">IF($C$2&gt;0,"Fastest Time of the day "&amp;FIXED(D1,Title!M1,TRUE)&amp;" by "&amp;INDIRECT("R2C"&amp;147+MATCH(D1,INDIRECT(EQ1,TRUE),0),FALSE),"")</f>
        <v>Fastest Time of the day 48.02 by Rich Bago</v>
      </c>
      <c r="C3" s="124"/>
      <c r="D3" s="124"/>
      <c r="E3" s="124"/>
      <c r="F3" s="126"/>
      <c r="G3" s="123" t="str">
        <f ca="1">IF(G1&gt;0,"Fastest Time "&amp;FIXED(G1,Title!M1,TRUE)&amp;" by "&amp;INDIRECT("R"&amp;4+MATCH(G1,G5:G39,0)&amp;"C2",FALSE),"")</f>
        <v>Fastest Time 61.73 by Steve Haley</v>
      </c>
      <c r="H3" s="124"/>
      <c r="I3" s="124"/>
      <c r="J3" s="125"/>
      <c r="K3" s="125"/>
      <c r="L3" s="125"/>
      <c r="M3" s="125"/>
      <c r="N3" s="123" t="str">
        <f ca="1">IF(N1&gt;0,"Fastest Time "&amp;FIXED(N1,Title!M1,TRUE)&amp;" by "&amp;INDIRECT("R"&amp;4+MATCH(N1,N5:N39,0)&amp;"C2",FALSE),"")</f>
        <v>Fastest Time 48.02 by Rich Bago</v>
      </c>
      <c r="O3" s="124"/>
      <c r="P3" s="124"/>
      <c r="Q3" s="125"/>
      <c r="R3" s="125"/>
      <c r="S3" s="125"/>
      <c r="T3" s="125"/>
      <c r="U3" s="123" t="str">
        <f ca="1">IF(U1&gt;0,"Fastest Time "&amp;FIXED(U1,Title!M1,TRUE)&amp;" by "&amp;INDIRECT("R"&amp;4+MATCH(U1,U5:U39,0)&amp;"C2",FALSE),"")</f>
        <v>Fastest Time 61.40 by Steve Haley</v>
      </c>
      <c r="V3" s="124"/>
      <c r="W3" s="124"/>
      <c r="X3" s="125"/>
      <c r="Y3" s="125"/>
      <c r="Z3" s="125"/>
      <c r="AA3" s="125"/>
      <c r="AB3" s="123" t="str">
        <f ca="1">IF(AB1&gt;0,"Fastest Time "&amp;FIXED(AB1,Title!M1,TRUE)&amp;" by "&amp;INDIRECT("R"&amp;4+MATCH(AB1,AB5:AB39,0)&amp;"C2",FALSE),"")</f>
        <v>Fastest Time 58.28 by Peter Gunning</v>
      </c>
      <c r="AC3" s="124"/>
      <c r="AD3" s="124"/>
      <c r="AE3" s="125"/>
      <c r="AF3" s="125"/>
      <c r="AG3" s="125"/>
      <c r="AH3" s="125"/>
      <c r="AI3" s="123" t="str">
        <f ca="1">IF(AI1&gt;0,"Fastest Time "&amp;FIXED(AI1,Title!M1,TRUE)&amp;" by "&amp;INDIRECT("R"&amp;4+MATCH(AI1,AI5:AI39,0)&amp;"C2",FALSE),"")</f>
        <v>Fastest Time 54.98 by Peter Gunning</v>
      </c>
      <c r="AJ3" s="124"/>
      <c r="AK3" s="124"/>
      <c r="AL3" s="125"/>
      <c r="AM3" s="125"/>
      <c r="AN3" s="125"/>
      <c r="AO3" s="125"/>
      <c r="AP3" s="123" t="str">
        <f ca="1">IF(AP1&gt;0,"Fastest Time "&amp;FIXED(AP1,Title!M1,TRUE)&amp;" by "&amp;INDIRECT("R"&amp;4+MATCH(AP1,AP5:AP39,0)&amp;"C2",FALSE),"")</f>
        <v>Fastest Time 61.69 by Rich Bago</v>
      </c>
      <c r="AQ3" s="124"/>
      <c r="AR3" s="124"/>
      <c r="AS3" s="125"/>
      <c r="AT3" s="125"/>
      <c r="AU3" s="125"/>
      <c r="AV3" s="125"/>
      <c r="AW3" s="123" t="str">
        <f ca="1">IF(AW1&gt;0,"Fastest Time "&amp;FIXED(AW1,Title!M1,TRUE)&amp;" by "&amp;INDIRECT("R"&amp;4+MATCH(AW1,AW5:AW39,0)&amp;"C2",FALSE),"")</f>
        <v>Fastest Time 54.65 by Peter Gunning</v>
      </c>
      <c r="AX3" s="124"/>
      <c r="AY3" s="124"/>
      <c r="AZ3" s="125"/>
      <c r="BA3" s="125"/>
      <c r="BB3" s="125"/>
      <c r="BC3" s="125"/>
      <c r="BD3" s="123" t="str">
        <f ca="1">IF(BD1&gt;0,"Fastest Time "&amp;FIXED(BD1,Title!M1,TRUE)&amp;" by "&amp;INDIRECT("R"&amp;4+MATCH(BD1,BD5:BD39,0)&amp;"C2",FALSE),"")</f>
        <v>Fastest Time 60.50 by Rich Bago</v>
      </c>
      <c r="BE3" s="124"/>
      <c r="BF3" s="124"/>
      <c r="BG3" s="125"/>
      <c r="BH3" s="125"/>
      <c r="BI3" s="125"/>
      <c r="BJ3" s="125"/>
      <c r="BK3" s="123">
        <f ca="1">IF(BK1&gt;0,"Fastest Time "&amp;FIXED(BK1,Title!M1,TRUE)&amp;" by "&amp;INDIRECT("R"&amp;4+MATCH(BK1,BK5:BK39,0)&amp;"C2",FALSE),"")</f>
      </c>
      <c r="BL3" s="124"/>
      <c r="BM3" s="124"/>
      <c r="BN3" s="125"/>
      <c r="BO3" s="125"/>
      <c r="BP3" s="125"/>
      <c r="BQ3" s="125"/>
      <c r="BR3" s="123">
        <f ca="1">IF(BR1&gt;0,"Fastest Time "&amp;FIXED(BR1,Title!M1,TRUE)&amp;" by "&amp;INDIRECT("R"&amp;4+MATCH(BR1,BR5:BR39,0)&amp;"C2",FALSE),"")</f>
      </c>
      <c r="BS3" s="124"/>
      <c r="BT3" s="124"/>
      <c r="BU3" s="125"/>
      <c r="BV3" s="125"/>
      <c r="BW3" s="125"/>
      <c r="BX3" s="125"/>
      <c r="BY3" s="123">
        <f ca="1">IF(BY1&gt;0,"Fastest Time "&amp;FIXED(BY1,Title!M1,TRUE)&amp;" by "&amp;INDIRECT("R"&amp;4+MATCH(BY1,BY5:BY39,0)&amp;"C2",FALSE),"")</f>
      </c>
      <c r="BZ3" s="124"/>
      <c r="CA3" s="124"/>
      <c r="CB3" s="125"/>
      <c r="CC3" s="125"/>
      <c r="CD3" s="125"/>
      <c r="CE3" s="125"/>
      <c r="CF3" s="123">
        <f ca="1">IF(CF1&gt;0,"Fastest Time "&amp;FIXED(CF1,Title!M1,TRUE)&amp;" by "&amp;INDIRECT("R"&amp;4+MATCH(CF1,CF5:CF39,0)&amp;"C2",FALSE),"")</f>
      </c>
      <c r="CG3" s="124"/>
      <c r="CH3" s="124"/>
      <c r="CI3" s="125"/>
      <c r="CJ3" s="125"/>
      <c r="CK3" s="125"/>
      <c r="CL3" s="125"/>
      <c r="CM3" s="123">
        <f ca="1">IF(CM1&gt;0,"Fastest Time "&amp;FIXED(CM1,Title!M1,TRUE)&amp;" by "&amp;INDIRECT("R"&amp;4+MATCH(CM1,CM5:CM39,0)&amp;"C2",FALSE),"")</f>
      </c>
      <c r="CN3" s="124"/>
      <c r="CO3" s="124"/>
      <c r="CP3" s="125"/>
      <c r="CQ3" s="125"/>
      <c r="CR3" s="125"/>
      <c r="CS3" s="125"/>
      <c r="CT3" s="123">
        <f ca="1">IF(CT1&gt;0,"Fastest Time "&amp;FIXED(CT1,Title!M1,TRUE)&amp;" by "&amp;INDIRECT("R"&amp;4+MATCH(CT1,CT5:CT39,0)&amp;"C2",FALSE),"")</f>
      </c>
      <c r="CU3" s="124"/>
      <c r="CV3" s="124"/>
      <c r="CW3" s="125"/>
      <c r="CX3" s="125"/>
      <c r="CY3" s="125"/>
      <c r="CZ3" s="125"/>
      <c r="DA3" s="123">
        <f ca="1">IF(DA1&gt;0,"Fastest Time "&amp;FIXED(DA1,Title!M1,TRUE)&amp;" by "&amp;INDIRECT("R"&amp;4+MATCH(DA1,DA5:DA39,0)&amp;"C2",FALSE),"")</f>
      </c>
      <c r="DB3" s="124"/>
      <c r="DC3" s="124"/>
      <c r="DD3" s="125"/>
      <c r="DE3" s="125"/>
      <c r="DF3" s="125"/>
      <c r="DG3" s="125"/>
      <c r="DH3" s="123">
        <f ca="1">IF(DH1&gt;0,"Fastest Time "&amp;FIXED(DH1,Title!M1,TRUE)&amp;" by "&amp;INDIRECT("R"&amp;4+MATCH(DH1,DH5:DH39,0)&amp;"C2",FALSE),"")</f>
      </c>
      <c r="DI3" s="124"/>
      <c r="DJ3" s="124"/>
      <c r="DK3" s="125"/>
      <c r="DL3" s="125"/>
      <c r="DM3" s="125"/>
      <c r="DN3" s="125"/>
      <c r="DO3" s="123">
        <f ca="1">IF(DO1&gt;0,"Fastest Time "&amp;FIXED(DO1,Title!M1,TRUE)&amp;" by "&amp;INDIRECT("R"&amp;4+MATCH(DO1,DO5:DO39,0)&amp;"C2",FALSE),"")</f>
      </c>
      <c r="DP3" s="124"/>
      <c r="DQ3" s="124"/>
      <c r="DR3" s="125"/>
      <c r="DS3" s="125"/>
      <c r="DT3" s="125"/>
      <c r="DU3" s="125"/>
      <c r="DV3" s="123">
        <f ca="1">IF(DV1&gt;0,"Fastest Time "&amp;FIXED(DV1,Title!M1,TRUE)&amp;" by "&amp;INDIRECT("R"&amp;4+MATCH(DV1,DV5:DV39,0)&amp;"C2",FALSE),"")</f>
      </c>
      <c r="DW3" s="124"/>
      <c r="DX3" s="124"/>
      <c r="DY3" s="125"/>
      <c r="DZ3" s="125"/>
      <c r="EA3" s="125"/>
      <c r="EB3" s="125"/>
      <c r="EC3" s="123">
        <f ca="1">IF(EC1&gt;0,"Fastest Time "&amp;FIXED(EC1,Title!M1,TRUE)&amp;" by "&amp;INDIRECT("R"&amp;4+MATCH(EC1,EC5:EC39,0)&amp;"C2",FALSE),"")</f>
      </c>
      <c r="ED3" s="124"/>
      <c r="EE3" s="124"/>
      <c r="EF3" s="125"/>
      <c r="EG3" s="125"/>
      <c r="EH3" s="125"/>
      <c r="EI3" s="125"/>
      <c r="EJ3" s="123">
        <f ca="1">IF(EJ1&gt;0,"Fastest Time "&amp;FIXED(EJ1,Title!M1,TRUE)&amp;" by "&amp;INDIRECT("R"&amp;4+MATCH(EJ1,EJ5:EJ39,0)&amp;"C2",FALSE),"")</f>
      </c>
      <c r="EK3" s="124"/>
      <c r="EL3" s="124"/>
      <c r="EM3" s="125"/>
      <c r="EN3" s="125"/>
      <c r="EO3" s="125"/>
      <c r="EP3" s="125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9.75">
      <c r="A5" s="41">
        <v>1</v>
      </c>
      <c r="B5" s="41" t="str">
        <f>IF('Raw Data'!B3&lt;&gt;"",'Raw Data'!B3,"")</f>
        <v>Rich Bago</v>
      </c>
      <c r="C5" s="51">
        <f>IF('Raw Data'!C3&lt;&gt;"",'Raw Data'!C3,"")</f>
        <v>24</v>
      </c>
      <c r="D5" s="42">
        <f>HB5</f>
        <v>6872.21</v>
      </c>
      <c r="E5" s="69">
        <f>IF($C$2&gt;0,HC5,"")</f>
        <v>1</v>
      </c>
      <c r="F5" s="99" t="str">
        <f aca="true" t="shared" si="0" ref="F5:F14">HD5</f>
        <v>7</v>
      </c>
      <c r="G5" s="111">
        <f>IF(AND('Raw Data'!D3&lt;&gt;"",'Raw Data'!D3&lt;&gt;0),ROUNDDOWN('Raw Data'!D3,Title!$M$1),"")</f>
        <v>62.34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990.21</v>
      </c>
      <c r="J5" s="51">
        <f ca="1">IF(K5&lt;&gt;0,RANK(K5,K$5:INDIRECT(J$1,TRUE)),"")</f>
        <v>2</v>
      </c>
      <c r="K5" s="71">
        <f aca="true" t="shared" si="1" ref="K5:K14">IF(AND(H5&lt;&gt;"",I5&lt;&gt;""),I5-H5,IF(AND(H5&lt;&gt;"",I5=""),0-H5,IF(I5&lt;&gt;"",I5,0)))</f>
        <v>990.21</v>
      </c>
      <c r="L5" s="71">
        <f aca="true" t="shared" si="2" ref="L5:L14">IF(AND($C$2&gt;0,B5&lt;&gt;""),ROUND(SUM(ER5:ER5)+SUM(FM5:FM5)-SUM(GH5),2),"")</f>
        <v>990.21</v>
      </c>
      <c r="M5" s="103">
        <f ca="1">IF(L5&lt;&gt;"",RANK(L5,L$5:INDIRECT(M$1,TRUE)),"")</f>
        <v>2</v>
      </c>
      <c r="N5" s="111">
        <f>IF(AND('Raw Data'!F3&lt;&gt;"",'Raw Data'!F3&lt;&gt;0),ROUNDDOWN('Raw Data'!F3,Title!$M$1),"")</f>
        <v>48.02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1000</v>
      </c>
      <c r="Q5" s="51">
        <f ca="1">IF(OR(N5&lt;&gt;"",O5&lt;&gt;""),RANK(R5,R$5:INDIRECT(Q$1,TRUE)),"")</f>
        <v>1</v>
      </c>
      <c r="R5" s="71">
        <f>IF(AND(O5&lt;&gt;"",P5&lt;&gt;""),P5-O5,IF(AND(O5&lt;&gt;"",P5=""),0-O5,IF(P5&lt;&gt;"",P5,"")))</f>
        <v>1000</v>
      </c>
      <c r="S5" s="71">
        <f aca="true" t="shared" si="3" ref="S5:S14">IF(AND($C$2&gt;1,B5&lt;&gt;""),ROUND(SUM(ER5:ES5)+SUM(FM5:FN5)-SUM(GI5),2),"")</f>
        <v>1990.21</v>
      </c>
      <c r="T5" s="103">
        <f ca="1">IF(S5&lt;&gt;"",RANK(S5,S$5:INDIRECT(T$1,TRUE)),"")</f>
        <v>1</v>
      </c>
      <c r="U5" s="111">
        <f>IF(AND('Raw Data'!H3&lt;&gt;"",'Raw Data'!H3&lt;&gt;0),ROUNDDOWN('Raw Data'!H3,Title!$M$1),"")</f>
        <v>64.4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953.41</v>
      </c>
      <c r="X5" s="51">
        <f ca="1">IF(OR(U5&lt;&gt;"",V5&lt;&gt;""),RANK(Y5,Y$5:INDIRECT(X$1,TRUE)),"")</f>
        <v>4</v>
      </c>
      <c r="Y5" s="71">
        <f>IF(AND(V5&lt;&gt;"",W5&lt;&gt;""),W5-V5,IF(AND(V5&lt;&gt;"",W5=""),0-V5,IF(W5&lt;&gt;"",W5,"")))</f>
        <v>953.41</v>
      </c>
      <c r="Z5" s="71">
        <f aca="true" t="shared" si="4" ref="Z5:Z14">IF(AND($C$2&gt;2,B5&lt;&gt;""),ROUND(SUM(ER5:ET5)+SUM(FM5:FO5)-SUM(GJ5),2),"")</f>
        <v>2943.62</v>
      </c>
      <c r="AA5" s="103">
        <f ca="1">IF(Z5&lt;&gt;"",RANK(Z5,Z$5:INDIRECT(AA$1,TRUE)),"")</f>
        <v>1</v>
      </c>
      <c r="AB5" s="111">
        <f>IF(AND('Raw Data'!J3&lt;&gt;"",'Raw Data'!J3&lt;&gt;0),ROUNDDOWN('Raw Data'!J3,Title!$M$1),"")</f>
        <v>62.59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931.13</v>
      </c>
      <c r="AE5" s="51">
        <f ca="1">IF(OR(AB5&lt;&gt;"",AC5&lt;&gt;""),RANK(AF5,AF$5:INDIRECT(AE$1,TRUE)),"")</f>
        <v>3</v>
      </c>
      <c r="AF5" s="71">
        <f>IF(AND(AC5&lt;&gt;"",AD5&lt;&gt;""),AD5-AC5,IF(AND(AC5&lt;&gt;"",AD5=""),0-AC5,IF(AD5&lt;&gt;"",AD5,"")))</f>
        <v>931.13</v>
      </c>
      <c r="AG5" s="71">
        <f aca="true" t="shared" si="5" ref="AG5:AG14">IF(AND($C$2&gt;3,B5&lt;&gt;""),ROUND(SUM(ER5:EU5)+SUM(FM5:FP5)-SUM(GK5),2),"")</f>
        <v>2943.62</v>
      </c>
      <c r="AH5" s="103">
        <f ca="1">IF(AG5&lt;&gt;"",RANK(AG5,AG$5:INDIRECT(AH$1,TRUE)),"")</f>
        <v>2</v>
      </c>
      <c r="AI5" s="111">
        <f>IF(AND('Raw Data'!L3&lt;&gt;"",'Raw Data'!L3&lt;&gt;0),ROUNDDOWN('Raw Data'!L3,Title!$M$1),"")</f>
        <v>55.12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997.46</v>
      </c>
      <c r="AL5" s="51">
        <f ca="1">IF(OR(AI5&lt;&gt;"",AJ5&lt;&gt;""),RANK(AM5,AM$5:INDIRECT(AL$1,TRUE)),"")</f>
        <v>2</v>
      </c>
      <c r="AM5" s="71">
        <f>IF(AND(AJ5&lt;&gt;"",AK5&lt;&gt;""),AK5-AJ5,IF(AND(AJ5&lt;&gt;"",AK5=""),0-AJ5,IF(AK5&lt;&gt;"",AK5,"")))</f>
        <v>997.46</v>
      </c>
      <c r="AN5" s="71">
        <f aca="true" t="shared" si="6" ref="AN5:AN14">IF(AND($C$2&gt;4,B5&lt;&gt;""),ROUND(SUM(ER5:EV5)+SUM(FM5:FQ5)-SUM(GL5),2),"")</f>
        <v>3941.08</v>
      </c>
      <c r="AO5" s="103">
        <f ca="1">IF(AN5&lt;&gt;"",RANK(AN5,AN$5:INDIRECT(AO$1,TRUE)),"")</f>
        <v>2</v>
      </c>
      <c r="AP5" s="111">
        <f>IF(AND('Raw Data'!N3&lt;&gt;"",'Raw Data'!N3&lt;&gt;0),ROUNDDOWN('Raw Data'!N3,Title!$M$1),"")</f>
        <v>61.69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1000</v>
      </c>
      <c r="AS5" s="51">
        <f ca="1">IF(OR(AP5&lt;&gt;"",AQ5&lt;&gt;""),RANK(AT5,AT$5:INDIRECT(AS$1,TRUE)),"")</f>
        <v>1</v>
      </c>
      <c r="AT5" s="71">
        <f>IF(AND(AQ5&lt;&gt;"",AR5&lt;&gt;""),AR5-AQ5,IF(AND(AQ5&lt;&gt;"",AR5=""),0-AQ5,IF(AR5&lt;&gt;"",AR5,"")))</f>
        <v>1000</v>
      </c>
      <c r="AU5" s="71">
        <f aca="true" t="shared" si="7" ref="AU5:AU14">IF(AND($C$2&gt;5,B5&lt;&gt;""),ROUND(SUM(ER5:EW5)+SUM(FM5:FR5)-SUM(GM5),2),"")</f>
        <v>4941.08</v>
      </c>
      <c r="AV5" s="103">
        <f ca="1">IF(AU5&lt;&gt;"",RANK(AU5,AU$5:INDIRECT(AV$1,TRUE)),"")</f>
        <v>1</v>
      </c>
      <c r="AW5" s="111">
        <f>IF(AND('Raw Data'!P3&lt;&gt;"",'Raw Data'!P3&lt;&gt;0),ROUNDDOWN('Raw Data'!P3,Title!$M$1),"")</f>
        <v>64.08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852.84</v>
      </c>
      <c r="AZ5" s="51">
        <f ca="1">IF(OR(AW5&lt;&gt;"",AX5&lt;&gt;""),RANK(BA5,BA$5:INDIRECT(AZ$1,TRUE)),"")</f>
        <v>4</v>
      </c>
      <c r="BA5" s="71">
        <f>IF(AND(AX5&lt;&gt;"",AY5&lt;&gt;""),AY5-AX5,IF(AND(AX5&lt;&gt;"",AY5=""),0-AX5,IF(AY5&lt;&gt;"",AY5,"")))</f>
        <v>852.84</v>
      </c>
      <c r="BB5" s="71">
        <f aca="true" t="shared" si="8" ref="BB5:BB14">IF(AND($C$2&gt;6,B5&lt;&gt;""),ROUND(SUM(ER5:EX5)+SUM(FM5:FS5)-SUM(GN5),2),"")</f>
        <v>5872.21</v>
      </c>
      <c r="BC5" s="103">
        <f ca="1">IF(BB5&lt;&gt;"",RANK(BB5,BB$5:INDIRECT(BC$1,TRUE)),"")</f>
        <v>2</v>
      </c>
      <c r="BD5" s="111">
        <f>IF(AND('Raw Data'!R3&lt;&gt;"",'Raw Data'!R3&lt;&gt;0),ROUNDDOWN('Raw Data'!R3,Title!$M$1),"")</f>
        <v>60.5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1000</v>
      </c>
      <c r="BG5" s="51">
        <f ca="1">IF(OR(BD5&lt;&gt;"",BE5&lt;&gt;""),RANK(BH5,BH$5:INDIRECT(BG$1,TRUE)),"")</f>
        <v>1</v>
      </c>
      <c r="BH5" s="71">
        <f>IF(AND(BE5&lt;&gt;"",BF5&lt;&gt;""),BF5-BE5,IF(AND(BE5&lt;&gt;"",BF5=""),0-BE5,IF(BF5&lt;&gt;"",BF5,"")))</f>
        <v>1000</v>
      </c>
      <c r="BI5" s="71">
        <f aca="true" t="shared" si="9" ref="BI5:BI14">IF(AND($C$2&gt;7,B5&lt;&gt;""),ROUND(SUM(ER5:EY5)+SUM(FM5:FT5)-SUM(GO5),2),"")</f>
        <v>6872.21</v>
      </c>
      <c r="BJ5" s="103">
        <f ca="1">IF(BI5&lt;&gt;"",RANK(BI5,BI$5:INDIRECT(BJ$1,TRUE)),"")</f>
        <v>1</v>
      </c>
      <c r="BK5" s="111">
        <f>IF(AND('Raw Data'!T3&lt;&gt;"",'Raw Data'!T3&lt;&gt;0),ROUNDDOWN('Raw Data'!T3,Title!$M$1),"")</f>
      </c>
      <c r="BL5" s="109">
        <f>IF(AND('Raw Data'!U3&lt;&gt;"",'Raw Data'!U3&lt;&gt;0),'Raw Data'!U3,"")</f>
      </c>
      <c r="BM5" s="97">
        <f>IF(AND(BK5&gt;0,BK5&lt;&gt;""),ROUNDDOWN((1000*BK$1)/BK5,2),IF(BK5="","",0))</f>
      </c>
      <c r="BN5" s="51">
        <f ca="1">IF(OR(BK5&lt;&gt;"",BL5&lt;&gt;""),RANK(BO5,BO$5:INDIRECT(BN$1,TRUE)),"")</f>
      </c>
      <c r="BO5" s="71">
        <f>IF(AND(BL5&lt;&gt;"",BM5&lt;&gt;""),BM5-BL5,IF(AND(BL5&lt;&gt;"",BM5=""),0-BL5,IF(BM5&lt;&gt;"",BM5,"")))</f>
      </c>
      <c r="BP5" s="71">
        <f aca="true" t="shared" si="10" ref="BP5:BP14">IF(AND($C$2&gt;8,B5&lt;&gt;""),ROUND(SUM(ER5:EZ5)+SUM(FM5:FU5)-SUM(GP5),2),"")</f>
      </c>
      <c r="BQ5" s="103">
        <f ca="1">IF(BP5&lt;&gt;"",RANK(BP5,BP$5:INDIRECT(BQ$1,TRUE)),"")</f>
      </c>
      <c r="BR5" s="111">
        <f>IF(AND('Raw Data'!V3&lt;&gt;"",'Raw Data'!V3&lt;&gt;0),ROUNDDOWN('Raw Data'!V3,Title!$M$1),"")</f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</c>
      <c r="BU5" s="51">
        <f ca="1">IF(OR(BR5&lt;&gt;"",BS5&lt;&gt;""),RANK(BV5,BV$5:INDIRECT(BU$1,TRUE)),"")</f>
      </c>
      <c r="BV5" s="71">
        <f>IF(AND(BS5&lt;&gt;"",BT5&lt;&gt;""),BT5-BS5,IF(AND(BS5&lt;&gt;"",BT5=""),0-BS5,IF(BT5&lt;&gt;"",BT5,"")))</f>
      </c>
      <c r="BW5" s="71">
        <f aca="true" t="shared" si="11" ref="BW5:BW14">IF(AND($C$2&gt;9,B5&lt;&gt;""),ROUND(SUM(ER5:FA5)+SUM(FM5:FV5)-SUM(GQ5),2),"")</f>
      </c>
      <c r="BX5" s="103">
        <f ca="1">IF(BW5&lt;&gt;"",RANK(BW5,BW$5:INDIRECT(BX$1,TRUE)),"")</f>
      </c>
      <c r="BY5" s="111">
        <f>IF(AND('Raw Data'!X3&lt;&gt;"",'Raw Data'!X3&lt;&gt;0),ROUNDDOWN('Raw Data'!X3,Title!$M$1),"")</f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</c>
      <c r="CB5" s="51">
        <f ca="1">IF(OR(BY5&lt;&gt;"",BZ5&lt;&gt;""),RANK(CC5,CC$5:INDIRECT(CB$1,TRUE)),"")</f>
      </c>
      <c r="CC5" s="71">
        <f>IF(AND(BZ5&lt;&gt;"",CA5&lt;&gt;""),CA5-BZ5,IF(AND(BZ5&lt;&gt;"",CA5=""),0-BZ5,IF(CA5&lt;&gt;"",CA5,"")))</f>
      </c>
      <c r="CD5" s="71">
        <f aca="true" t="shared" si="12" ref="CD5:CD14">IF(AND($C$2&gt;10,B5&lt;&gt;""),ROUND(SUM(ER5:FB5)+SUM(FM5:FW5)-SUM(GR5),2),"")</f>
      </c>
      <c r="CE5" s="103">
        <f ca="1">IF(CD5&lt;&gt;"",RANK(CD5,CD$5:INDIRECT(CE$1,TRUE)),"")</f>
      </c>
      <c r="CF5" s="111">
        <f>IF(AND('Raw Data'!Z3&lt;&gt;"",'Raw Data'!Z3&lt;&gt;0),ROUNDDOWN('Raw Data'!Z3,Title!$M$1),"")</f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</c>
      <c r="CI5" s="51">
        <f ca="1">IF(OR(CF5&lt;&gt;"",CG5&lt;&gt;""),RANK(CJ5,CJ$5:INDIRECT(CI$1,TRUE)),"")</f>
      </c>
      <c r="CJ5" s="71">
        <f>IF(AND(CG5&lt;&gt;"",CH5&lt;&gt;""),CH5-CG5,IF(AND(CG5&lt;&gt;"",CH5=""),0-CG5,IF(CH5&lt;&gt;"",CH5,"")))</f>
      </c>
      <c r="CK5" s="71">
        <f aca="true" t="shared" si="13" ref="CK5:CK14">IF(AND($C$2&gt;11,B5&lt;&gt;""),ROUND(SUM(ER5:FC5)+SUM(FM5:FX5)-SUM(GS5),2),"")</f>
      </c>
      <c r="CL5" s="103">
        <f ca="1">IF(CK5&lt;&gt;"",RANK(CK5,CK$5:INDIRECT(CL$1,TRUE)),"")</f>
      </c>
      <c r="CM5" s="111">
        <f>IF(AND('Raw Data'!AB3&lt;&gt;"",'Raw Data'!AB3&lt;&gt;0),ROUNDDOWN('Raw Data'!AB3,Title!$M$1),"")</f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</c>
      <c r="CP5" s="51">
        <f ca="1">IF(OR(CM5&lt;&gt;"",CN5&lt;&gt;""),RANK(CQ5,CQ$5:INDIRECT(CP$1,TRUE)),"")</f>
      </c>
      <c r="CQ5" s="71">
        <f>IF(AND(CN5&lt;&gt;"",CO5&lt;&gt;""),CO5-CN5,IF(AND(CN5&lt;&gt;"",CO5=""),0-CN5,IF(CO5&lt;&gt;"",CO5,"")))</f>
      </c>
      <c r="CR5" s="71">
        <f aca="true" t="shared" si="14" ref="CR5:CR14">IF(AND($C$2&gt;12,B5&lt;&gt;""),ROUND(SUM(ER5:FD5)+SUM(FM5:FY5)-SUM(GT5),2),"")</f>
      </c>
      <c r="CS5" s="103">
        <f ca="1">IF(CR5&lt;&gt;"",RANK(CR5,CR$5:INDIRECT(CS$1,TRUE)),"")</f>
      </c>
      <c r="CT5" s="111">
        <f>IF(AND('Raw Data'!AD3&lt;&gt;"",'Raw Data'!AD3&lt;&gt;0),ROUNDDOWN('Raw Data'!AD3,Title!$M$1),"")</f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</c>
      <c r="CW5" s="51">
        <f ca="1">IF(OR(CT5&lt;&gt;"",CU5&lt;&gt;""),RANK(CX5,CX$5:INDIRECT(CW$1,TRUE)),"")</f>
      </c>
      <c r="CX5" s="71">
        <f>IF(AND(CU5&lt;&gt;"",CV5&lt;&gt;""),CV5-CU5,IF(AND(CU5&lt;&gt;"",CV5=""),0-CU5,IF(CV5&lt;&gt;"",CV5,"")))</f>
      </c>
      <c r="CY5" s="71">
        <f aca="true" t="shared" si="15" ref="CY5:CY14">IF(AND($C$2&gt;13,B5&lt;&gt;""),ROUND(SUM(ER5:FE5)+SUM(FM5:FZ5)-SUM(GU5),2),"")</f>
      </c>
      <c r="CZ5" s="103">
        <f ca="1">IF(CY5&lt;&gt;"",RANK(CY5,CY$5:INDIRECT(CZ$1,TRUE)),"")</f>
      </c>
      <c r="DA5" s="111">
        <f>IF(AND('Raw Data'!AF3&lt;&gt;"",'Raw Data'!AF3&lt;&gt;0),ROUNDDOWN('Raw Data'!AF3,Title!$M$1),"")</f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</c>
      <c r="DD5" s="51">
        <f ca="1">IF(OR(DA5&lt;&gt;"",DB5&lt;&gt;""),RANK(DE5,DE$5:INDIRECT(DD$1,TRUE)),"")</f>
      </c>
      <c r="DE5" s="71">
        <f>IF(AND(DB5&lt;&gt;"",DC5&lt;&gt;""),DC5-DB5,IF(AND(DB5&lt;&gt;"",DC5=""),0-DB5,IF(DC5&lt;&gt;"",DC5,"")))</f>
      </c>
      <c r="DF5" s="71">
        <f aca="true" t="shared" si="16" ref="DF5:DF14">IF(AND($C$2&gt;14,B5&lt;&gt;""),ROUND(SUM(ER5:FF5)+SUM(FM5:GA5)-SUM(GV5),2),"")</f>
      </c>
      <c r="DG5" s="103">
        <f ca="1">IF(DF5&lt;&gt;"",RANK(DF5,DF$5:INDIRECT(DG$1,TRUE)),"")</f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14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14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14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14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14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$ER$5:$EY$5</v>
      </c>
      <c r="ER5" s="71">
        <f>SUM(I5)</f>
        <v>990.21</v>
      </c>
      <c r="ES5" s="71">
        <f>SUM(P5)</f>
        <v>1000</v>
      </c>
      <c r="ET5" s="71">
        <f>SUM(W5)</f>
        <v>953.41</v>
      </c>
      <c r="EU5" s="71">
        <f>SUM(AD5)</f>
        <v>931.13</v>
      </c>
      <c r="EV5" s="71">
        <f>SUM(AK5)</f>
        <v>997.46</v>
      </c>
      <c r="EW5" s="71">
        <f>SUM(AR5)</f>
        <v>1000</v>
      </c>
      <c r="EX5" s="71">
        <f>SUM(AY5)</f>
        <v>852.84</v>
      </c>
      <c r="EY5" s="71">
        <f>SUM(BF5)</f>
        <v>1000</v>
      </c>
      <c r="EZ5" s="71">
        <f>SUM(BM5)</f>
        <v>0</v>
      </c>
      <c r="FA5" s="71">
        <f>SUM(BT5)</f>
        <v>0</v>
      </c>
      <c r="FB5" s="71">
        <f>SUM(CA5)</f>
        <v>0</v>
      </c>
      <c r="FC5" s="71">
        <f>SUM(CH5)</f>
        <v>0</v>
      </c>
      <c r="FD5" s="71">
        <f>SUM(CO5)</f>
        <v>0</v>
      </c>
      <c r="FE5" s="71">
        <f>SUM(CV5)</f>
        <v>0</v>
      </c>
      <c r="FF5" s="71">
        <f>SUM(DC5)</f>
        <v>0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$FM$5:$FT$5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GO5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931.13</v>
      </c>
      <c r="GL5" s="71">
        <f>GetDiscardScore($ER5:EV5,GL$1)</f>
        <v>931.13</v>
      </c>
      <c r="GM5" s="71">
        <f>GetDiscardScore($ER5:EW5,GM$1)</f>
        <v>931.13</v>
      </c>
      <c r="GN5" s="71">
        <f>GetDiscardScore($ER5:EX5,GN$1)</f>
        <v>852.84</v>
      </c>
      <c r="GO5" s="71">
        <f>GetDiscardScore($ER5:EY5,GO$1)</f>
        <v>852.84</v>
      </c>
      <c r="GP5" s="71">
        <f>GetDiscardScore($ER5:EZ5,GP$1)</f>
        <v>0</v>
      </c>
      <c r="GQ5" s="71">
        <f>GetDiscardScore($ER5:FA5,GQ$1)</f>
        <v>0</v>
      </c>
      <c r="GR5" s="71">
        <f>GetDiscardScore($ER5:FB5,GR$1)</f>
        <v>0</v>
      </c>
      <c r="GS5" s="71">
        <f>GetDiscardScore($ER5:FC5,GS$1)</f>
        <v>0</v>
      </c>
      <c r="GT5" s="71">
        <f>GetDiscardScore($ER5:FD5,GT$1)</f>
        <v>0</v>
      </c>
      <c r="GU5" s="71">
        <f>GetDiscardScore($ER5:FE5,GU$1)</f>
        <v>0</v>
      </c>
      <c r="GV5" s="71">
        <f>GetDiscardScore($ER5:FF5,GV$1)</f>
        <v>0</v>
      </c>
      <c r="GW5" s="71">
        <f>GetDiscardScore($ER5:FG5,GW$1)</f>
        <v>0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6872.21</v>
      </c>
      <c r="HC5" s="72">
        <f ca="1">IF(HB5&lt;&gt;"",RANK(HB5,HB$5:INDIRECT(HC$1,TRUE),0),"")</f>
        <v>1</v>
      </c>
      <c r="HD5" s="70" t="str">
        <f ca="1">IF(HB5&lt;&gt;"",GetDiscardRounds(INDIRECT(EQ5),INDIRECT($GG$1)),"")</f>
        <v>7</v>
      </c>
    </row>
    <row r="6" spans="1:212" s="51" customFormat="1" ht="9.75">
      <c r="A6" s="41">
        <v>2</v>
      </c>
      <c r="B6" s="41" t="str">
        <f>IF('Raw Data'!B4&lt;&gt;"",'Raw Data'!B4,"")</f>
        <v>Bob Dickenson</v>
      </c>
      <c r="C6" s="51">
        <f>IF('Raw Data'!C4&lt;&gt;"",'Raw Data'!C4,"")</f>
        <v>24</v>
      </c>
      <c r="D6" s="42">
        <f aca="true" t="shared" si="22" ref="D6:D14">HB6</f>
        <v>3689.97</v>
      </c>
      <c r="E6" s="69">
        <f aca="true" t="shared" si="23" ref="E6:E14">IF($C$2&gt;0,HC6,"")</f>
        <v>6</v>
      </c>
      <c r="F6" s="99" t="str">
        <f t="shared" si="0"/>
        <v>6</v>
      </c>
      <c r="G6" s="111">
        <f>IF(AND('Raw Data'!D4&lt;&gt;"",'Raw Data'!D4&lt;&gt;0),ROUNDDOWN('Raw Data'!D4,Title!$M$1),"")</f>
        <v>87.28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707.26</v>
      </c>
      <c r="J6" s="51">
        <f ca="1">IF(K6&lt;&gt;0,RANK(K6,K$5:INDIRECT(J$1,TRUE)),"")</f>
        <v>6</v>
      </c>
      <c r="K6" s="71">
        <f t="shared" si="1"/>
        <v>707.26</v>
      </c>
      <c r="L6" s="71">
        <f t="shared" si="2"/>
        <v>707.26</v>
      </c>
      <c r="M6" s="104">
        <f ca="1">IF(L6&lt;&gt;"",RANK(L6,L$5:INDIRECT(M$1,TRUE)),"")</f>
        <v>6</v>
      </c>
      <c r="N6" s="111">
        <f>IF(AND('Raw Data'!F4&lt;&gt;"",'Raw Data'!F4&lt;&gt;0),ROUNDDOWN('Raw Data'!F4,Title!$M$1),"")</f>
        <v>63.76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753.13</v>
      </c>
      <c r="Q6" s="51">
        <f ca="1">IF(OR(N6&lt;&gt;"",O6&lt;&gt;""),RANK(R6,R$5:INDIRECT(Q$1,TRUE)),"")</f>
        <v>5</v>
      </c>
      <c r="R6" s="71">
        <f aca="true" t="shared" si="24" ref="R6:R14">IF(AND(O6&lt;&gt;"",P6&lt;&gt;""),P6-O6,IF(AND(O6&lt;&gt;"",P6=""),0-O6,IF(P6&lt;&gt;"",P6,"")))</f>
        <v>753.13</v>
      </c>
      <c r="S6" s="71">
        <f t="shared" si="3"/>
        <v>1460.39</v>
      </c>
      <c r="T6" s="104">
        <f ca="1">IF(S6&lt;&gt;"",RANK(S6,S$5:INDIRECT(T$1,TRUE)),"")</f>
        <v>6</v>
      </c>
      <c r="U6" s="111">
        <f>IF(AND('Raw Data'!H4&lt;&gt;"",'Raw Data'!H4&lt;&gt;0),ROUNDDOWN('Raw Data'!H4,Title!$M$1),"")</f>
        <v>83.56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734.8</v>
      </c>
      <c r="X6" s="51">
        <f ca="1">IF(OR(U6&lt;&gt;"",V6&lt;&gt;""),RANK(Y6,Y$5:INDIRECT(X$1,TRUE)),"")</f>
        <v>6</v>
      </c>
      <c r="Y6" s="71">
        <f aca="true" t="shared" si="25" ref="Y6:Y14">IF(AND(V6&lt;&gt;"",W6&lt;&gt;""),W6-V6,IF(AND(V6&lt;&gt;"",W6=""),0-V6,IF(W6&lt;&gt;"",W6,"")))</f>
        <v>734.8</v>
      </c>
      <c r="Z6" s="71">
        <f t="shared" si="4"/>
        <v>2195.19</v>
      </c>
      <c r="AA6" s="104">
        <f ca="1">IF(Z6&lt;&gt;"",RANK(Z6,Z$5:INDIRECT(AA$1,TRUE)),"")</f>
        <v>6</v>
      </c>
      <c r="AB6" s="111">
        <f>IF(AND('Raw Data'!J4&lt;&gt;"",'Raw Data'!J4&lt;&gt;0),ROUNDDOWN('Raw Data'!J4,Title!$M$1),"")</f>
        <v>83.02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701.99</v>
      </c>
      <c r="AE6" s="51">
        <f ca="1">IF(OR(AB6&lt;&gt;"",AC6&lt;&gt;""),RANK(AF6,AF$5:INDIRECT(AE$1,TRUE)),"")</f>
        <v>6</v>
      </c>
      <c r="AF6" s="71">
        <f aca="true" t="shared" si="26" ref="AF6:AF14">IF(AND(AC6&lt;&gt;"",AD6&lt;&gt;""),AD6-AC6,IF(AND(AC6&lt;&gt;"",AD6=""),0-AC6,IF(AD6&lt;&gt;"",AD6,"")))</f>
        <v>701.99</v>
      </c>
      <c r="AG6" s="71">
        <f t="shared" si="5"/>
        <v>2195.19</v>
      </c>
      <c r="AH6" s="104">
        <f ca="1">IF(AG6&lt;&gt;"",RANK(AG6,AG$5:INDIRECT(AH$1,TRUE)),"")</f>
        <v>6</v>
      </c>
      <c r="AI6" s="111">
        <f>IF(AND('Raw Data'!L4&lt;&gt;"",'Raw Data'!L4&lt;&gt;0),ROUNDDOWN('Raw Data'!L4,Title!$M$1),"")</f>
        <v>69.35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792.79</v>
      </c>
      <c r="AL6" s="51">
        <f ca="1">IF(OR(AI6&lt;&gt;"",AJ6&lt;&gt;""),RANK(AM6,AM$5:INDIRECT(AL$1,TRUE)),"")</f>
        <v>6</v>
      </c>
      <c r="AM6" s="71">
        <f aca="true" t="shared" si="27" ref="AM6:AM14">IF(AND(AJ6&lt;&gt;"",AK6&lt;&gt;""),AK6-AJ6,IF(AND(AJ6&lt;&gt;"",AK6=""),0-AJ6,IF(AK6&lt;&gt;"",AK6,"")))</f>
        <v>792.79</v>
      </c>
      <c r="AN6" s="71">
        <f t="shared" si="6"/>
        <v>2987.98</v>
      </c>
      <c r="AO6" s="104">
        <f ca="1">IF(AN6&lt;&gt;"",RANK(AN6,AN$5:INDIRECT(AO$1,TRUE)),"")</f>
        <v>6</v>
      </c>
      <c r="AP6" s="111">
        <f>IF(AND('Raw Data'!N4&lt;&gt;"",'Raw Data'!N4&lt;&gt;0),ROUNDDOWN('Raw Data'!N4,Title!$M$1),"")</f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</c>
      <c r="AS6" s="51">
        <f ca="1">IF(OR(AP6&lt;&gt;"",AQ6&lt;&gt;""),RANK(AT6,AT$5:INDIRECT(AS$1,TRUE)),"")</f>
      </c>
      <c r="AT6" s="71">
        <f aca="true" t="shared" si="28" ref="AT6:AT14">IF(AND(AQ6&lt;&gt;"",AR6&lt;&gt;""),AR6-AQ6,IF(AND(AQ6&lt;&gt;"",AR6=""),0-AQ6,IF(AR6&lt;&gt;"",AR6,"")))</f>
      </c>
      <c r="AU6" s="71">
        <f t="shared" si="7"/>
        <v>3689.97</v>
      </c>
      <c r="AV6" s="104">
        <f ca="1">IF(AU6&lt;&gt;"",RANK(AU6,AU$5:INDIRECT(AV$1,TRUE)),"")</f>
        <v>6</v>
      </c>
      <c r="AW6" s="111">
        <f>IF(AND('Raw Data'!P4&lt;&gt;"",'Raw Data'!P4&lt;&gt;0),ROUNDDOWN('Raw Data'!P4,Title!$M$1),"")</f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</c>
      <c r="AZ6" s="51">
        <f ca="1">IF(OR(AW6&lt;&gt;"",AX6&lt;&gt;""),RANK(BA6,BA$5:INDIRECT(AZ$1,TRUE)),"")</f>
      </c>
      <c r="BA6" s="71">
        <f aca="true" t="shared" si="29" ref="BA6:BA14">IF(AND(AX6&lt;&gt;"",AY6&lt;&gt;""),AY6-AX6,IF(AND(AX6&lt;&gt;"",AY6=""),0-AX6,IF(AY6&lt;&gt;"",AY6,"")))</f>
      </c>
      <c r="BB6" s="71">
        <f t="shared" si="8"/>
        <v>3689.97</v>
      </c>
      <c r="BC6" s="104">
        <f ca="1">IF(BB6&lt;&gt;"",RANK(BB6,BB$5:INDIRECT(BC$1,TRUE)),"")</f>
        <v>6</v>
      </c>
      <c r="BD6" s="111">
        <f>IF(AND('Raw Data'!R4&lt;&gt;"",'Raw Data'!R4&lt;&gt;0),ROUNDDOWN('Raw Data'!R4,Title!$M$1),"")</f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</c>
      <c r="BG6" s="51">
        <f ca="1">IF(OR(BD6&lt;&gt;"",BE6&lt;&gt;""),RANK(BH6,BH$5:INDIRECT(BG$1,TRUE)),"")</f>
      </c>
      <c r="BH6" s="71">
        <f aca="true" t="shared" si="30" ref="BH6:BH14">IF(AND(BE6&lt;&gt;"",BF6&lt;&gt;""),BF6-BE6,IF(AND(BE6&lt;&gt;"",BF6=""),0-BE6,IF(BF6&lt;&gt;"",BF6,"")))</f>
      </c>
      <c r="BI6" s="71">
        <f t="shared" si="9"/>
        <v>3689.97</v>
      </c>
      <c r="BJ6" s="104">
        <f ca="1">IF(BI6&lt;&gt;"",RANK(BI6,BI$5:INDIRECT(BJ$1,TRUE)),"")</f>
        <v>6</v>
      </c>
      <c r="BK6" s="111">
        <f>IF(AND('Raw Data'!T4&lt;&gt;"",'Raw Data'!T4&lt;&gt;0),ROUNDDOWN('Raw Data'!T4,Title!$M$1),"")</f>
      </c>
      <c r="BL6" s="109">
        <f>IF(AND('Raw Data'!U4&lt;&gt;"",'Raw Data'!U4&lt;&gt;0),'Raw Data'!U4,"")</f>
      </c>
      <c r="BM6" s="97">
        <f aca="true" t="shared" si="31" ref="BM6:BM14">IF(AND(BK6&gt;0,BK6&lt;&gt;""),ROUNDDOWN((1000*BK$1)/BK6,2),IF(BK6="","",0))</f>
      </c>
      <c r="BN6" s="51">
        <f ca="1">IF(OR(BK6&lt;&gt;"",BL6&lt;&gt;""),RANK(BO6,BO$5:INDIRECT(BN$1,TRUE)),"")</f>
      </c>
      <c r="BO6" s="71">
        <f aca="true" t="shared" si="32" ref="BO6:BO14">IF(AND(BL6&lt;&gt;"",BM6&lt;&gt;""),BM6-BL6,IF(AND(BL6&lt;&gt;"",BM6=""),0-BL6,IF(BM6&lt;&gt;"",BM6,"")))</f>
      </c>
      <c r="BP6" s="71">
        <f t="shared" si="10"/>
      </c>
      <c r="BQ6" s="104">
        <f ca="1">IF(BP6&lt;&gt;"",RANK(BP6,BP$5:INDIRECT(BQ$1,TRUE)),"")</f>
      </c>
      <c r="BR6" s="111">
        <f>IF(AND('Raw Data'!V4&lt;&gt;"",'Raw Data'!V4&lt;&gt;0),ROUNDDOWN('Raw Data'!V4,Title!$M$1),"")</f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</c>
      <c r="BU6" s="51">
        <f ca="1">IF(OR(BR6&lt;&gt;"",BS6&lt;&gt;""),RANK(BV6,BV$5:INDIRECT(BU$1,TRUE)),"")</f>
      </c>
      <c r="BV6" s="71">
        <f aca="true" t="shared" si="33" ref="BV6:BV14">IF(AND(BS6&lt;&gt;"",BT6&lt;&gt;""),BT6-BS6,IF(AND(BS6&lt;&gt;"",BT6=""),0-BS6,IF(BT6&lt;&gt;"",BT6,"")))</f>
      </c>
      <c r="BW6" s="71">
        <f t="shared" si="11"/>
      </c>
      <c r="BX6" s="104">
        <f ca="1">IF(BW6&lt;&gt;"",RANK(BW6,BW$5:INDIRECT(BX$1,TRUE)),"")</f>
      </c>
      <c r="BY6" s="111">
        <f>IF(AND('Raw Data'!X4&lt;&gt;"",'Raw Data'!X4&lt;&gt;0),ROUNDDOWN('Raw Data'!X4,Title!$M$1),"")</f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</c>
      <c r="CB6" s="51">
        <f ca="1">IF(OR(BY6&lt;&gt;"",BZ6&lt;&gt;""),RANK(CC6,CC$5:INDIRECT(CB$1,TRUE)),"")</f>
      </c>
      <c r="CC6" s="71">
        <f aca="true" t="shared" si="34" ref="CC6:CC14">IF(AND(BZ6&lt;&gt;"",CA6&lt;&gt;""),CA6-BZ6,IF(AND(BZ6&lt;&gt;"",CA6=""),0-BZ6,IF(CA6&lt;&gt;"",CA6,"")))</f>
      </c>
      <c r="CD6" s="71">
        <f t="shared" si="12"/>
      </c>
      <c r="CE6" s="104">
        <f ca="1">IF(CD6&lt;&gt;"",RANK(CD6,CD$5:INDIRECT(CE$1,TRUE)),"")</f>
      </c>
      <c r="CF6" s="111">
        <f>IF(AND('Raw Data'!Z4&lt;&gt;"",'Raw Data'!Z4&lt;&gt;0),ROUNDDOWN('Raw Data'!Z4,Title!$M$1),"")</f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</c>
      <c r="CI6" s="51">
        <f ca="1">IF(OR(CF6&lt;&gt;"",CG6&lt;&gt;""),RANK(CJ6,CJ$5:INDIRECT(CI$1,TRUE)),"")</f>
      </c>
      <c r="CJ6" s="71">
        <f aca="true" t="shared" si="35" ref="CJ6:CJ14">IF(AND(CG6&lt;&gt;"",CH6&lt;&gt;""),CH6-CG6,IF(AND(CG6&lt;&gt;"",CH6=""),0-CG6,IF(CH6&lt;&gt;"",CH6,"")))</f>
      </c>
      <c r="CK6" s="71">
        <f t="shared" si="13"/>
      </c>
      <c r="CL6" s="104">
        <f ca="1">IF(CK6&lt;&gt;"",RANK(CK6,CK$5:INDIRECT(CL$1,TRUE)),"")</f>
      </c>
      <c r="CM6" s="111">
        <f>IF(AND('Raw Data'!AB4&lt;&gt;"",'Raw Data'!AB4&lt;&gt;0),ROUNDDOWN('Raw Data'!AB4,Title!$M$1),"")</f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</c>
      <c r="CP6" s="51">
        <f ca="1">IF(OR(CM6&lt;&gt;"",CN6&lt;&gt;""),RANK(CQ6,CQ$5:INDIRECT(CP$1,TRUE)),"")</f>
      </c>
      <c r="CQ6" s="71">
        <f aca="true" t="shared" si="36" ref="CQ6:CQ14">IF(AND(CN6&lt;&gt;"",CO6&lt;&gt;""),CO6-CN6,IF(AND(CN6&lt;&gt;"",CO6=""),0-CN6,IF(CO6&lt;&gt;"",CO6,"")))</f>
      </c>
      <c r="CR6" s="71">
        <f t="shared" si="14"/>
      </c>
      <c r="CS6" s="104">
        <f ca="1">IF(CR6&lt;&gt;"",RANK(CR6,CR$5:INDIRECT(CS$1,TRUE)),"")</f>
      </c>
      <c r="CT6" s="111">
        <f>IF(AND('Raw Data'!AD4&lt;&gt;"",'Raw Data'!AD4&lt;&gt;0),ROUNDDOWN('Raw Data'!AD4,Title!$M$1),"")</f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</c>
      <c r="CW6" s="51">
        <f ca="1">IF(OR(CT6&lt;&gt;"",CU6&lt;&gt;""),RANK(CX6,CX$5:INDIRECT(CW$1,TRUE)),"")</f>
      </c>
      <c r="CX6" s="71">
        <f aca="true" t="shared" si="37" ref="CX6:CX14">IF(AND(CU6&lt;&gt;"",CV6&lt;&gt;""),CV6-CU6,IF(AND(CU6&lt;&gt;"",CV6=""),0-CU6,IF(CV6&lt;&gt;"",CV6,"")))</f>
      </c>
      <c r="CY6" s="71">
        <f t="shared" si="15"/>
      </c>
      <c r="CZ6" s="104">
        <f ca="1">IF(CY6&lt;&gt;"",RANK(CY6,CY$5:INDIRECT(CZ$1,TRUE)),"")</f>
      </c>
      <c r="DA6" s="111">
        <f>IF(AND('Raw Data'!AF4&lt;&gt;"",'Raw Data'!AF4&lt;&gt;0),ROUNDDOWN('Raw Data'!AF4,Title!$M$1),"")</f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</c>
      <c r="DD6" s="51">
        <f ca="1">IF(OR(DA6&lt;&gt;"",DB6&lt;&gt;""),RANK(DE6,DE$5:INDIRECT(DD$1,TRUE)),"")</f>
      </c>
      <c r="DE6" s="71">
        <f aca="true" t="shared" si="38" ref="DE6:DE14">IF(AND(DB6&lt;&gt;"",DC6&lt;&gt;""),DC6-DB6,IF(AND(DB6&lt;&gt;"",DC6=""),0-DB6,IF(DC6&lt;&gt;"",DC6,"")))</f>
      </c>
      <c r="DF6" s="71">
        <f t="shared" si="16"/>
      </c>
      <c r="DG6" s="104">
        <f ca="1">IF(DF6&lt;&gt;"",RANK(DF6,DF$5:INDIRECT(DG$1,TRUE)),"")</f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14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14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14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14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14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14">ADDRESS(ROW(),COLUMN()+1,1,TRUE)&amp;":"&amp;ADDRESS(ROW(),COLUMN()+$C$2,1,TRUE)</f>
        <v>$ER$6:$EY$6</v>
      </c>
      <c r="ER6" s="71">
        <f aca="true" t="shared" si="45" ref="ER6:ER14">SUM(I6)</f>
        <v>707.26</v>
      </c>
      <c r="ES6" s="71">
        <f aca="true" t="shared" si="46" ref="ES6:ES14">SUM(P6)</f>
        <v>753.13</v>
      </c>
      <c r="ET6" s="71">
        <f aca="true" t="shared" si="47" ref="ET6:ET14">SUM(W6)</f>
        <v>734.8</v>
      </c>
      <c r="EU6" s="71">
        <f aca="true" t="shared" si="48" ref="EU6:EU14">SUM(AD6)</f>
        <v>701.99</v>
      </c>
      <c r="EV6" s="71">
        <f aca="true" t="shared" si="49" ref="EV6:EV14">SUM(AK6)</f>
        <v>792.79</v>
      </c>
      <c r="EW6" s="71">
        <f aca="true" t="shared" si="50" ref="EW6:EW14">SUM(AR6)</f>
        <v>0</v>
      </c>
      <c r="EX6" s="71">
        <f aca="true" t="shared" si="51" ref="EX6:EX14">SUM(AY6)</f>
        <v>0</v>
      </c>
      <c r="EY6" s="71">
        <f aca="true" t="shared" si="52" ref="EY6:EY14">SUM(BF6)</f>
        <v>0</v>
      </c>
      <c r="EZ6" s="71">
        <f aca="true" t="shared" si="53" ref="EZ6:EZ14">SUM(BM6)</f>
        <v>0</v>
      </c>
      <c r="FA6" s="71">
        <f aca="true" t="shared" si="54" ref="FA6:FA14">SUM(BT6)</f>
        <v>0</v>
      </c>
      <c r="FB6" s="71">
        <f aca="true" t="shared" si="55" ref="FB6:FB14">SUM(CA6)</f>
        <v>0</v>
      </c>
      <c r="FC6" s="71">
        <f aca="true" t="shared" si="56" ref="FC6:FC14">SUM(CH6)</f>
        <v>0</v>
      </c>
      <c r="FD6" s="71">
        <f aca="true" t="shared" si="57" ref="FD6:FD14">SUM(CO6)</f>
        <v>0</v>
      </c>
      <c r="FE6" s="71">
        <f aca="true" t="shared" si="58" ref="FE6:FE14">SUM(CV6)</f>
        <v>0</v>
      </c>
      <c r="FF6" s="71">
        <f aca="true" t="shared" si="59" ref="FF6:FF14">SUM(DC6)</f>
        <v>0</v>
      </c>
      <c r="FG6" s="71">
        <f aca="true" t="shared" si="60" ref="FG6:FG14">SUM(DJ6)</f>
        <v>0</v>
      </c>
      <c r="FH6" s="71">
        <f aca="true" t="shared" si="61" ref="FH6:FH14">SUM(DQ6)</f>
        <v>0</v>
      </c>
      <c r="FI6" s="71">
        <f aca="true" t="shared" si="62" ref="FI6:FI14">SUM(DX6)</f>
        <v>0</v>
      </c>
      <c r="FJ6" s="71">
        <f aca="true" t="shared" si="63" ref="FJ6:FJ14">SUM(EE6)</f>
        <v>0</v>
      </c>
      <c r="FK6" s="71">
        <f aca="true" t="shared" si="64" ref="FK6:FK14">SUM(EL6)</f>
        <v>0</v>
      </c>
      <c r="FL6" s="51" t="str">
        <f aca="true" t="shared" si="65" ref="FL6:FL14">ADDRESS(ROW(),COLUMN()+1,1,TRUE)&amp;":"&amp;ADDRESS(ROW(),COLUMN()+$C$2,1,TRUE)</f>
        <v>$FM$6:$FT$6</v>
      </c>
      <c r="FM6" s="72">
        <f aca="true" t="shared" si="66" ref="FM6:FM14">IF(H6&lt;&gt;"",0-H6,0)</f>
        <v>0</v>
      </c>
      <c r="FN6" s="51">
        <f aca="true" t="shared" si="67" ref="FN6:FN14">IF(O6&lt;&gt;"",0-O6,0)</f>
        <v>0</v>
      </c>
      <c r="FO6" s="51">
        <f aca="true" t="shared" si="68" ref="FO6:FO14">IF(V6&lt;&gt;"",0-V6,0)</f>
        <v>0</v>
      </c>
      <c r="FP6" s="51">
        <f aca="true" t="shared" si="69" ref="FP6:FP14">IF(AC6&lt;&gt;"",0-AC6,0)</f>
        <v>0</v>
      </c>
      <c r="FQ6" s="51">
        <f aca="true" t="shared" si="70" ref="FQ6:FQ14">IF(AJ6&lt;&gt;"",0-AJ6,0)</f>
        <v>0</v>
      </c>
      <c r="FR6" s="51">
        <f aca="true" t="shared" si="71" ref="FR6:FR14">IF(AQ6&lt;&gt;"",0-AQ6,0)</f>
        <v>0</v>
      </c>
      <c r="FS6" s="51">
        <f aca="true" t="shared" si="72" ref="FS6:FS14">IF(AX6&lt;&gt;"",0-AX6,0)</f>
        <v>0</v>
      </c>
      <c r="FT6" s="51">
        <f aca="true" t="shared" si="73" ref="FT6:FT14">IF(BE6&lt;&gt;"",0-BE6,0)</f>
        <v>0</v>
      </c>
      <c r="FU6" s="51">
        <f aca="true" t="shared" si="74" ref="FU6:FU14">IF(BL6&lt;&gt;"",0-BL6,0)</f>
        <v>0</v>
      </c>
      <c r="FV6" s="51">
        <f aca="true" t="shared" si="75" ref="FV6:FV14">IF(BS6&lt;&gt;"",0-BS6,0)</f>
        <v>0</v>
      </c>
      <c r="FW6" s="51">
        <f aca="true" t="shared" si="76" ref="FW6:FW14">IF(BZ6&lt;&gt;"",0-BZ6,0)</f>
        <v>0</v>
      </c>
      <c r="FX6" s="51">
        <f aca="true" t="shared" si="77" ref="FX6:FX14">IF(CG6&lt;&gt;"",0-CG6,0)</f>
        <v>0</v>
      </c>
      <c r="FY6" s="51">
        <f aca="true" t="shared" si="78" ref="FY6:FY14">IF(CN6&lt;&gt;"",0-CN6,0)</f>
        <v>0</v>
      </c>
      <c r="FZ6" s="51">
        <f aca="true" t="shared" si="79" ref="FZ6:FZ14">IF(CU6&lt;&gt;"",0-CU6,0)</f>
        <v>0</v>
      </c>
      <c r="GA6" s="51">
        <f aca="true" t="shared" si="80" ref="GA6:GA14">IF(DB6&lt;&gt;"",0-DB6,0)</f>
        <v>0</v>
      </c>
      <c r="GB6" s="51">
        <f aca="true" t="shared" si="81" ref="GB6:GB14">IF(DI6&lt;&gt;"",0-DI6,0)</f>
        <v>0</v>
      </c>
      <c r="GC6" s="51">
        <f aca="true" t="shared" si="82" ref="GC6:GC14">IF(DP6&lt;&gt;"",0-DP6,0)</f>
        <v>0</v>
      </c>
      <c r="GD6" s="51">
        <f aca="true" t="shared" si="83" ref="GD6:GD14">IF(DW6&lt;&gt;"",0-DW6,0)</f>
        <v>0</v>
      </c>
      <c r="GE6" s="51">
        <f aca="true" t="shared" si="84" ref="GE6:GE14">IF(ED6&lt;&gt;"",0-ED6,0)</f>
        <v>0</v>
      </c>
      <c r="GF6" s="51">
        <f aca="true" t="shared" si="85" ref="GF6:GF14">IF(EK6&lt;&gt;"",0-EK6,0)</f>
        <v>0</v>
      </c>
      <c r="GG6" s="51" t="str">
        <f aca="true" t="shared" si="86" ref="GG6:GG14">ADDRESS(ROW(),COLUMN()+$C$2,4,1)</f>
        <v>GO6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701.99</v>
      </c>
      <c r="GL6" s="71">
        <f>GetDiscardScore($ER6:EV6,GL$1)</f>
        <v>701.99</v>
      </c>
      <c r="GM6" s="71">
        <f>GetDiscardScore($ER6:EW6,GM$1)</f>
        <v>0</v>
      </c>
      <c r="GN6" s="71">
        <f>GetDiscardScore($ER6:EX6,GN$1)</f>
        <v>0</v>
      </c>
      <c r="GO6" s="71">
        <f>GetDiscardScore($ER6:EY6,GO$1)</f>
        <v>0</v>
      </c>
      <c r="GP6" s="71">
        <f>GetDiscardScore($ER6:EZ6,GP$1)</f>
        <v>0</v>
      </c>
      <c r="GQ6" s="71">
        <f>GetDiscardScore($ER6:FA6,GQ$1)</f>
        <v>0</v>
      </c>
      <c r="GR6" s="71">
        <f>GetDiscardScore($ER6:FB6,GR$1)</f>
        <v>0</v>
      </c>
      <c r="GS6" s="71">
        <f>GetDiscardScore($ER6:FC6,GS$1)</f>
        <v>0</v>
      </c>
      <c r="GT6" s="71">
        <f>GetDiscardScore($ER6:FD6,GT$1)</f>
        <v>0</v>
      </c>
      <c r="GU6" s="71">
        <f>GetDiscardScore($ER6:FE6,GU$1)</f>
        <v>0</v>
      </c>
      <c r="GV6" s="71">
        <f>GetDiscardScore($ER6:FF6,GV$1)</f>
        <v>0</v>
      </c>
      <c r="GW6" s="71">
        <f>GetDiscardScore($ER6:FG6,GW$1)</f>
        <v>0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14">IF(AND($C$2&gt;0,B6&lt;&gt;""),ROUND(SUM(INDIRECT(EQ6))+SUM(INDIRECT(FL6))-SUM(INDIRECT(GG6)),2),"")</f>
        <v>3689.97</v>
      </c>
      <c r="HC6" s="72">
        <f ca="1">IF(HB6&lt;&gt;"",RANK(HB6,HB$5:INDIRECT(HC$1,TRUE),0),"")</f>
        <v>6</v>
      </c>
      <c r="HD6" s="70" t="str">
        <f aca="true" ca="1" t="shared" si="88" ref="HD6:HD14">IF(HB6&lt;&gt;"",GetDiscardRounds(INDIRECT(EQ6),INDIRECT($GG$1)),"")</f>
        <v>6</v>
      </c>
    </row>
    <row r="7" spans="1:212" s="51" customFormat="1" ht="9.75">
      <c r="A7" s="41">
        <v>3</v>
      </c>
      <c r="B7" s="41" t="str">
        <f>IF('Raw Data'!B5&lt;&gt;"",'Raw Data'!B5,"")</f>
        <v>Jon Edison</v>
      </c>
      <c r="C7" s="51">
        <f>IF('Raw Data'!C5&lt;&gt;"",'Raw Data'!C5,"")</f>
        <v>24</v>
      </c>
      <c r="D7" s="42">
        <f t="shared" si="22"/>
        <v>5899.13</v>
      </c>
      <c r="E7" s="69">
        <f t="shared" si="23"/>
        <v>5</v>
      </c>
      <c r="F7" s="99" t="str">
        <f t="shared" si="0"/>
        <v>8</v>
      </c>
      <c r="G7" s="111">
        <f>IF(AND('Raw Data'!D5&lt;&gt;"",'Raw Data'!D5&lt;&gt;0),ROUNDDOWN('Raw Data'!D5,Title!$M$1),"")</f>
        <v>69.65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886.28</v>
      </c>
      <c r="J7" s="51">
        <f ca="1">IF(K7&lt;&gt;0,RANK(K7,K$5:INDIRECT(J$1,TRUE)),"")</f>
        <v>4</v>
      </c>
      <c r="K7" s="71">
        <f t="shared" si="1"/>
        <v>886.28</v>
      </c>
      <c r="L7" s="71">
        <f t="shared" si="2"/>
        <v>886.28</v>
      </c>
      <c r="M7" s="104">
        <f ca="1">IF(L7&lt;&gt;"",RANK(L7,L$5:INDIRECT(M$1,TRUE)),"")</f>
        <v>4</v>
      </c>
      <c r="N7" s="111">
        <f>IF(AND('Raw Data'!F5&lt;&gt;"",'Raw Data'!F5&lt;&gt;0),ROUNDDOWN('Raw Data'!F5,Title!$M$1),"")</f>
        <v>54.03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888.76</v>
      </c>
      <c r="Q7" s="51">
        <f ca="1">IF(OR(N7&lt;&gt;"",O7&lt;&gt;""),RANK(R7,R$5:INDIRECT(Q$1,TRUE)),"")</f>
        <v>2</v>
      </c>
      <c r="R7" s="71">
        <f t="shared" si="24"/>
        <v>888.76</v>
      </c>
      <c r="S7" s="71">
        <f t="shared" si="3"/>
        <v>1775.04</v>
      </c>
      <c r="T7" s="104">
        <f ca="1">IF(S7&lt;&gt;"",RANK(S7,S$5:INDIRECT(T$1,TRUE)),"")</f>
        <v>3</v>
      </c>
      <c r="U7" s="111">
        <f>IF(AND('Raw Data'!H5&lt;&gt;"",'Raw Data'!H5&lt;&gt;0),ROUNDDOWN('Raw Data'!H5,Title!$M$1),"")</f>
        <v>82.62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743.16</v>
      </c>
      <c r="X7" s="51">
        <f ca="1">IF(OR(U7&lt;&gt;"",V7&lt;&gt;""),RANK(Y7,Y$5:INDIRECT(X$1,TRUE)),"")</f>
        <v>5</v>
      </c>
      <c r="Y7" s="71">
        <f t="shared" si="25"/>
        <v>743.16</v>
      </c>
      <c r="Z7" s="71">
        <f t="shared" si="4"/>
        <v>2518.2</v>
      </c>
      <c r="AA7" s="104">
        <f ca="1">IF(Z7&lt;&gt;"",RANK(Z7,Z$5:INDIRECT(AA$1,TRUE)),"")</f>
        <v>5</v>
      </c>
      <c r="AB7" s="111">
        <f>IF(AND('Raw Data'!J5&lt;&gt;"",'Raw Data'!J5&lt;&gt;0),ROUNDDOWN('Raw Data'!J5,Title!$M$1),"")</f>
        <v>66.28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879.29</v>
      </c>
      <c r="AE7" s="51">
        <f ca="1">IF(OR(AB7&lt;&gt;"",AC7&lt;&gt;""),RANK(AF7,AF$5:INDIRECT(AE$1,TRUE)),"")</f>
        <v>5</v>
      </c>
      <c r="AF7" s="71">
        <f t="shared" si="26"/>
        <v>879.29</v>
      </c>
      <c r="AG7" s="71">
        <f t="shared" si="5"/>
        <v>2654.33</v>
      </c>
      <c r="AH7" s="104">
        <f ca="1">IF(AG7&lt;&gt;"",RANK(AG7,AG$5:INDIRECT(AH$1,TRUE)),"")</f>
        <v>5</v>
      </c>
      <c r="AI7" s="111">
        <f>IF(AND('Raw Data'!L5&lt;&gt;"",'Raw Data'!L5&lt;&gt;0),ROUNDDOWN('Raw Data'!L5,Title!$M$1),"")</f>
        <v>61.41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895.29</v>
      </c>
      <c r="AL7" s="51">
        <f ca="1">IF(OR(AI7&lt;&gt;"",AJ7&lt;&gt;""),RANK(AM7,AM$5:INDIRECT(AL$1,TRUE)),"")</f>
        <v>4</v>
      </c>
      <c r="AM7" s="71">
        <f t="shared" si="27"/>
        <v>895.29</v>
      </c>
      <c r="AN7" s="71">
        <f t="shared" si="6"/>
        <v>3549.62</v>
      </c>
      <c r="AO7" s="104">
        <f ca="1">IF(AN7&lt;&gt;"",RANK(AN7,AN$5:INDIRECT(AO$1,TRUE)),"")</f>
        <v>5</v>
      </c>
      <c r="AP7" s="111">
        <f>IF(AND('Raw Data'!N5&lt;&gt;"",'Raw Data'!N5&lt;&gt;0),ROUNDDOWN('Raw Data'!N5,Title!$M$1),"")</f>
        <v>72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856.8</v>
      </c>
      <c r="AS7" s="51">
        <f ca="1">IF(OR(AP7&lt;&gt;"",AQ7&lt;&gt;""),RANK(AT7,AT$5:INDIRECT(AS$1,TRUE)),"")</f>
        <v>5</v>
      </c>
      <c r="AT7" s="71">
        <f t="shared" si="28"/>
        <v>856.8</v>
      </c>
      <c r="AU7" s="71">
        <f t="shared" si="7"/>
        <v>4406.42</v>
      </c>
      <c r="AV7" s="104">
        <f ca="1">IF(AU7&lt;&gt;"",RANK(AU7,AU$5:INDIRECT(AV$1,TRUE)),"")</f>
        <v>5</v>
      </c>
      <c r="AW7" s="111">
        <f>IF(AND('Raw Data'!P5&lt;&gt;"",'Raw Data'!P5&lt;&gt;0),ROUNDDOWN('Raw Data'!P5,Title!$M$1),"")</f>
        <v>72.91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749.55</v>
      </c>
      <c r="AZ7" s="51">
        <f ca="1">IF(OR(AW7&lt;&gt;"",AX7&lt;&gt;""),RANK(BA7,BA$5:INDIRECT(AZ$1,TRUE)),"")</f>
        <v>5</v>
      </c>
      <c r="BA7" s="71">
        <f t="shared" si="29"/>
        <v>749.55</v>
      </c>
      <c r="BB7" s="71">
        <f t="shared" si="8"/>
        <v>5155.97</v>
      </c>
      <c r="BC7" s="104">
        <f ca="1">IF(BB7&lt;&gt;"",RANK(BB7,BB$5:INDIRECT(BC$1,TRUE)),"")</f>
        <v>5</v>
      </c>
      <c r="BD7" s="111">
        <f>IF(AND('Raw Data'!R5&lt;&gt;"",'Raw Data'!R5&lt;&gt;0),ROUNDDOWN('Raw Data'!R5,Title!$M$1),"")</f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</c>
      <c r="BG7" s="51">
        <f ca="1">IF(OR(BD7&lt;&gt;"",BE7&lt;&gt;""),RANK(BH7,BH$5:INDIRECT(BG$1,TRUE)),"")</f>
      </c>
      <c r="BH7" s="71">
        <f t="shared" si="30"/>
      </c>
      <c r="BI7" s="71">
        <f t="shared" si="9"/>
        <v>5899.13</v>
      </c>
      <c r="BJ7" s="104">
        <f ca="1">IF(BI7&lt;&gt;"",RANK(BI7,BI$5:INDIRECT(BJ$1,TRUE)),"")</f>
        <v>5</v>
      </c>
      <c r="BK7" s="111">
        <f>IF(AND('Raw Data'!T5&lt;&gt;"",'Raw Data'!T5&lt;&gt;0),ROUNDDOWN('Raw Data'!T5,Title!$M$1),"")</f>
      </c>
      <c r="BL7" s="109">
        <f>IF(AND('Raw Data'!U5&lt;&gt;"",'Raw Data'!U5&lt;&gt;0),'Raw Data'!U5,"")</f>
      </c>
      <c r="BM7" s="97">
        <f t="shared" si="31"/>
      </c>
      <c r="BN7" s="51">
        <f ca="1">IF(OR(BK7&lt;&gt;"",BL7&lt;&gt;""),RANK(BO7,BO$5:INDIRECT(BN$1,TRUE)),"")</f>
      </c>
      <c r="BO7" s="71">
        <f t="shared" si="32"/>
      </c>
      <c r="BP7" s="71">
        <f t="shared" si="10"/>
      </c>
      <c r="BQ7" s="104">
        <f ca="1">IF(BP7&lt;&gt;"",RANK(BP7,BP$5:INDIRECT(BQ$1,TRUE)),"")</f>
      </c>
      <c r="BR7" s="111">
        <f>IF(AND('Raw Data'!V5&lt;&gt;"",'Raw Data'!V5&lt;&gt;0),ROUNDDOWN('Raw Data'!V5,Title!$M$1),"")</f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</c>
      <c r="BU7" s="51">
        <f ca="1">IF(OR(BR7&lt;&gt;"",BS7&lt;&gt;""),RANK(BV7,BV$5:INDIRECT(BU$1,TRUE)),"")</f>
      </c>
      <c r="BV7" s="71">
        <f t="shared" si="33"/>
      </c>
      <c r="BW7" s="71">
        <f t="shared" si="11"/>
      </c>
      <c r="BX7" s="104">
        <f ca="1">IF(BW7&lt;&gt;"",RANK(BW7,BW$5:INDIRECT(BX$1,TRUE)),"")</f>
      </c>
      <c r="BY7" s="111">
        <f>IF(AND('Raw Data'!X5&lt;&gt;"",'Raw Data'!X5&lt;&gt;0),ROUNDDOWN('Raw Data'!X5,Title!$M$1),"")</f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</c>
      <c r="CB7" s="51">
        <f ca="1">IF(OR(BY7&lt;&gt;"",BZ7&lt;&gt;""),RANK(CC7,CC$5:INDIRECT(CB$1,TRUE)),"")</f>
      </c>
      <c r="CC7" s="71">
        <f t="shared" si="34"/>
      </c>
      <c r="CD7" s="71">
        <f t="shared" si="12"/>
      </c>
      <c r="CE7" s="104">
        <f ca="1">IF(CD7&lt;&gt;"",RANK(CD7,CD$5:INDIRECT(CE$1,TRUE)),"")</f>
      </c>
      <c r="CF7" s="111">
        <f>IF(AND('Raw Data'!Z5&lt;&gt;"",'Raw Data'!Z5&lt;&gt;0),ROUNDDOWN('Raw Data'!Z5,Title!$M$1),"")</f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</c>
      <c r="CI7" s="51">
        <f ca="1">IF(OR(CF7&lt;&gt;"",CG7&lt;&gt;""),RANK(CJ7,CJ$5:INDIRECT(CI$1,TRUE)),"")</f>
      </c>
      <c r="CJ7" s="71">
        <f t="shared" si="35"/>
      </c>
      <c r="CK7" s="71">
        <f t="shared" si="13"/>
      </c>
      <c r="CL7" s="104">
        <f ca="1">IF(CK7&lt;&gt;"",RANK(CK7,CK$5:INDIRECT(CL$1,TRUE)),"")</f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36"/>
      </c>
      <c r="CR7" s="71">
        <f t="shared" si="14"/>
      </c>
      <c r="CS7" s="104">
        <f ca="1">IF(CR7&lt;&gt;"",RANK(CR7,CR$5:INDIRECT(CS$1,TRUE)),"")</f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37"/>
      </c>
      <c r="CY7" s="71">
        <f t="shared" si="15"/>
      </c>
      <c r="CZ7" s="104">
        <f ca="1">IF(CY7&lt;&gt;"",RANK(CY7,CY$5:INDIRECT(CZ$1,TRUE)),"")</f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38"/>
      </c>
      <c r="DF7" s="71">
        <f t="shared" si="16"/>
      </c>
      <c r="DG7" s="104">
        <f ca="1">IF(DF7&lt;&gt;"",RANK(DF7,DF$5:INDIRECT(DG$1,TRUE)),"")</f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$ER$7:$EY$7</v>
      </c>
      <c r="ER7" s="71">
        <f t="shared" si="45"/>
        <v>886.28</v>
      </c>
      <c r="ES7" s="71">
        <f t="shared" si="46"/>
        <v>888.76</v>
      </c>
      <c r="ET7" s="71">
        <f t="shared" si="47"/>
        <v>743.16</v>
      </c>
      <c r="EU7" s="71">
        <f t="shared" si="48"/>
        <v>879.29</v>
      </c>
      <c r="EV7" s="71">
        <f t="shared" si="49"/>
        <v>895.29</v>
      </c>
      <c r="EW7" s="71">
        <f t="shared" si="50"/>
        <v>856.8</v>
      </c>
      <c r="EX7" s="71">
        <f t="shared" si="51"/>
        <v>749.55</v>
      </c>
      <c r="EY7" s="71">
        <f t="shared" si="52"/>
        <v>0</v>
      </c>
      <c r="EZ7" s="71">
        <f t="shared" si="53"/>
        <v>0</v>
      </c>
      <c r="FA7" s="71">
        <f t="shared" si="54"/>
        <v>0</v>
      </c>
      <c r="FB7" s="71">
        <f t="shared" si="55"/>
        <v>0</v>
      </c>
      <c r="FC7" s="71">
        <f t="shared" si="56"/>
        <v>0</v>
      </c>
      <c r="FD7" s="71">
        <f t="shared" si="57"/>
        <v>0</v>
      </c>
      <c r="FE7" s="71">
        <f t="shared" si="58"/>
        <v>0</v>
      </c>
      <c r="FF7" s="71">
        <f t="shared" si="59"/>
        <v>0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$FM$7:$FT$7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GO7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743.16</v>
      </c>
      <c r="GL7" s="71">
        <f>GetDiscardScore($ER7:EV7,GL$1)</f>
        <v>743.16</v>
      </c>
      <c r="GM7" s="71">
        <f>GetDiscardScore($ER7:EW7,GM$1)</f>
        <v>743.16</v>
      </c>
      <c r="GN7" s="71">
        <f>GetDiscardScore($ER7:EX7,GN$1)</f>
        <v>743.16</v>
      </c>
      <c r="GO7" s="71">
        <f>GetDiscardScore($ER7:EY7,GO$1)</f>
        <v>0</v>
      </c>
      <c r="GP7" s="71">
        <f>GetDiscardScore($ER7:EZ7,GP$1)</f>
        <v>0</v>
      </c>
      <c r="GQ7" s="71">
        <f>GetDiscardScore($ER7:FA7,GQ$1)</f>
        <v>0</v>
      </c>
      <c r="GR7" s="71">
        <f>GetDiscardScore($ER7:FB7,GR$1)</f>
        <v>0</v>
      </c>
      <c r="GS7" s="71">
        <f>GetDiscardScore($ER7:FC7,GS$1)</f>
        <v>0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5899.13</v>
      </c>
      <c r="HC7" s="72">
        <f ca="1">IF(HB7&lt;&gt;"",RANK(HB7,HB$5:INDIRECT(HC$1,TRUE),0),"")</f>
        <v>5</v>
      </c>
      <c r="HD7" s="70" t="str">
        <f ca="1" t="shared" si="88"/>
        <v>8</v>
      </c>
    </row>
    <row r="8" spans="1:212" s="74" customFormat="1" ht="9.75">
      <c r="A8" s="39">
        <v>4</v>
      </c>
      <c r="B8" s="39" t="str">
        <f>IF('Raw Data'!B6&lt;&gt;"",'Raw Data'!B6,"")</f>
        <v>Peter Gunning</v>
      </c>
      <c r="C8" s="74">
        <f>IF('Raw Data'!C6&lt;&gt;"",'Raw Data'!C6,"")</f>
        <v>24</v>
      </c>
      <c r="D8" s="40">
        <f t="shared" si="22"/>
        <v>6729.48</v>
      </c>
      <c r="E8" s="75">
        <f t="shared" si="23"/>
        <v>3</v>
      </c>
      <c r="F8" s="100" t="str">
        <f t="shared" si="0"/>
        <v>2</v>
      </c>
      <c r="G8" s="114">
        <f>IF(AND('Raw Data'!D6&lt;&gt;"",'Raw Data'!D6&lt;&gt;0),ROUNDDOWN('Raw Data'!D6,Title!$M$1),"")</f>
        <v>73.4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841</v>
      </c>
      <c r="J8" s="74">
        <f ca="1">IF(K8&lt;&gt;0,RANK(K8,K$5:INDIRECT(J$1,TRUE)),"")</f>
        <v>5</v>
      </c>
      <c r="K8" s="77">
        <f t="shared" si="1"/>
        <v>841</v>
      </c>
      <c r="L8" s="77">
        <f t="shared" si="2"/>
        <v>841</v>
      </c>
      <c r="M8" s="105">
        <f ca="1">IF(L8&lt;&gt;"",RANK(L8,L$5:INDIRECT(M$1,TRUE)),"")</f>
        <v>5</v>
      </c>
      <c r="N8" s="114">
        <f>IF(AND('Raw Data'!F6&lt;&gt;"",'Raw Data'!F6&lt;&gt;0),ROUNDDOWN('Raw Data'!F6,Title!$M$1),"")</f>
        <v>62.29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770.91</v>
      </c>
      <c r="Q8" s="74">
        <f ca="1">IF(OR(N8&lt;&gt;"",O8&lt;&gt;""),RANK(R8,R$5:INDIRECT(Q$1,TRUE)),"")</f>
        <v>4</v>
      </c>
      <c r="R8" s="77">
        <f t="shared" si="24"/>
        <v>770.91</v>
      </c>
      <c r="S8" s="77">
        <f t="shared" si="3"/>
        <v>1611.91</v>
      </c>
      <c r="T8" s="105">
        <f ca="1">IF(S8&lt;&gt;"",RANK(S8,S$5:INDIRECT(T$1,TRUE)),"")</f>
        <v>5</v>
      </c>
      <c r="U8" s="114">
        <f>IF(AND('Raw Data'!H6&lt;&gt;"",'Raw Data'!H6&lt;&gt;0),ROUNDDOWN('Raw Data'!H6,Title!$M$1),"")</f>
        <v>63.71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963.74</v>
      </c>
      <c r="X8" s="74">
        <f ca="1">IF(OR(U8&lt;&gt;"",V8&lt;&gt;""),RANK(Y8,Y$5:INDIRECT(X$1,TRUE)),"")</f>
        <v>3</v>
      </c>
      <c r="Y8" s="77">
        <f t="shared" si="25"/>
        <v>963.74</v>
      </c>
      <c r="Z8" s="77">
        <f t="shared" si="4"/>
        <v>2575.65</v>
      </c>
      <c r="AA8" s="105">
        <f ca="1">IF(Z8&lt;&gt;"",RANK(Z8,Z$5:INDIRECT(AA$1,TRUE)),"")</f>
        <v>4</v>
      </c>
      <c r="AB8" s="114">
        <f>IF(AND('Raw Data'!J6&lt;&gt;"",'Raw Data'!J6&lt;&gt;0),ROUNDDOWN('Raw Data'!J6,Title!$M$1),"")</f>
        <v>58.28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1000</v>
      </c>
      <c r="AE8" s="74">
        <f ca="1">IF(OR(AB8&lt;&gt;"",AC8&lt;&gt;""),RANK(AF8,AF$5:INDIRECT(AE$1,TRUE)),"")</f>
        <v>1</v>
      </c>
      <c r="AF8" s="77">
        <f t="shared" si="26"/>
        <v>1000</v>
      </c>
      <c r="AG8" s="77">
        <f t="shared" si="5"/>
        <v>2804.74</v>
      </c>
      <c r="AH8" s="105">
        <f ca="1">IF(AG8&lt;&gt;"",RANK(AG8,AG$5:INDIRECT(AH$1,TRUE)),"")</f>
        <v>3</v>
      </c>
      <c r="AI8" s="114">
        <f>IF(AND('Raw Data'!L6&lt;&gt;"",'Raw Data'!L6&lt;&gt;0),ROUNDDOWN('Raw Data'!L6,Title!$M$1),"")</f>
        <v>54.98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1000</v>
      </c>
      <c r="AL8" s="74">
        <f ca="1">IF(OR(AI8&lt;&gt;"",AJ8&lt;&gt;""),RANK(AM8,AM$5:INDIRECT(AL$1,TRUE)),"")</f>
        <v>1</v>
      </c>
      <c r="AM8" s="77">
        <f t="shared" si="27"/>
        <v>1000</v>
      </c>
      <c r="AN8" s="77">
        <f t="shared" si="6"/>
        <v>3804.74</v>
      </c>
      <c r="AO8" s="105">
        <f ca="1">IF(AN8&lt;&gt;"",RANK(AN8,AN$5:INDIRECT(AO$1,TRUE)),"")</f>
        <v>3</v>
      </c>
      <c r="AP8" s="114">
        <f>IF(AND('Raw Data'!N6&lt;&gt;"",'Raw Data'!N6&lt;&gt;0),ROUNDDOWN('Raw Data'!N6,Title!$M$1),"")</f>
        <v>62.9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980.76</v>
      </c>
      <c r="AS8" s="74">
        <f ca="1">IF(OR(AP8&lt;&gt;"",AQ8&lt;&gt;""),RANK(AT8,AT$5:INDIRECT(AS$1,TRUE)),"")</f>
        <v>2</v>
      </c>
      <c r="AT8" s="77">
        <f t="shared" si="28"/>
        <v>980.76</v>
      </c>
      <c r="AU8" s="77">
        <f t="shared" si="7"/>
        <v>4785.5</v>
      </c>
      <c r="AV8" s="105">
        <f ca="1">IF(AU8&lt;&gt;"",RANK(AU8,AU$5:INDIRECT(AV$1,TRUE)),"")</f>
        <v>3</v>
      </c>
      <c r="AW8" s="114">
        <f>IF(AND('Raw Data'!P6&lt;&gt;"",'Raw Data'!P6&lt;&gt;0),ROUNDDOWN('Raw Data'!P6,Title!$M$1),"")</f>
        <v>54.65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1000</v>
      </c>
      <c r="AZ8" s="74">
        <f ca="1">IF(OR(AW8&lt;&gt;"",AX8&lt;&gt;""),RANK(BA8,BA$5:INDIRECT(AZ$1,TRUE)),"")</f>
        <v>1</v>
      </c>
      <c r="BA8" s="77">
        <f t="shared" si="29"/>
        <v>1000</v>
      </c>
      <c r="BB8" s="77">
        <f t="shared" si="8"/>
        <v>5785.5</v>
      </c>
      <c r="BC8" s="105">
        <f ca="1">IF(BB8&lt;&gt;"",RANK(BB8,BB$5:INDIRECT(BC$1,TRUE)),"")</f>
        <v>3</v>
      </c>
      <c r="BD8" s="114">
        <f>IF(AND('Raw Data'!R6&lt;&gt;"",'Raw Data'!R6&lt;&gt;0),ROUNDDOWN('Raw Data'!R6,Title!$M$1),"")</f>
        <v>64.09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943.98</v>
      </c>
      <c r="BG8" s="74">
        <f ca="1">IF(OR(BD8&lt;&gt;"",BE8&lt;&gt;""),RANK(BH8,BH$5:INDIRECT(BG$1,TRUE)),"")</f>
        <v>2</v>
      </c>
      <c r="BH8" s="77">
        <f t="shared" si="30"/>
        <v>943.98</v>
      </c>
      <c r="BI8" s="77">
        <f t="shared" si="9"/>
        <v>6729.48</v>
      </c>
      <c r="BJ8" s="105">
        <f ca="1">IF(BI8&lt;&gt;"",RANK(BI8,BI$5:INDIRECT(BJ$1,TRUE)),"")</f>
        <v>3</v>
      </c>
      <c r="BK8" s="114">
        <f>IF(AND('Raw Data'!T6&lt;&gt;"",'Raw Data'!T6&lt;&gt;0),ROUNDDOWN('Raw Data'!T6,Title!$M$1),"")</f>
      </c>
      <c r="BL8" s="110">
        <f>IF(AND('Raw Data'!U6&lt;&gt;"",'Raw Data'!U6&lt;&gt;0),'Raw Data'!U6,"")</f>
      </c>
      <c r="BM8" s="98">
        <f t="shared" si="31"/>
      </c>
      <c r="BN8" s="74">
        <f ca="1">IF(OR(BK8&lt;&gt;"",BL8&lt;&gt;""),RANK(BO8,BO$5:INDIRECT(BN$1,TRUE)),"")</f>
      </c>
      <c r="BO8" s="77">
        <f t="shared" si="32"/>
      </c>
      <c r="BP8" s="77">
        <f t="shared" si="10"/>
      </c>
      <c r="BQ8" s="105">
        <f ca="1">IF(BP8&lt;&gt;"",RANK(BP8,BP$5:INDIRECT(BQ$1,TRUE)),"")</f>
      </c>
      <c r="BR8" s="114">
        <f>IF(AND('Raw Data'!V6&lt;&gt;"",'Raw Data'!V6&lt;&gt;0),ROUNDDOWN('Raw Data'!V6,Title!$M$1),"")</f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</c>
      <c r="BU8" s="74">
        <f ca="1">IF(OR(BR8&lt;&gt;"",BS8&lt;&gt;""),RANK(BV8,BV$5:INDIRECT(BU$1,TRUE)),"")</f>
      </c>
      <c r="BV8" s="77">
        <f t="shared" si="33"/>
      </c>
      <c r="BW8" s="77">
        <f t="shared" si="11"/>
      </c>
      <c r="BX8" s="105">
        <f ca="1">IF(BW8&lt;&gt;"",RANK(BW8,BW$5:INDIRECT(BX$1,TRUE)),"")</f>
      </c>
      <c r="BY8" s="114">
        <f>IF(AND('Raw Data'!X6&lt;&gt;"",'Raw Data'!X6&lt;&gt;0),ROUNDDOWN('Raw Data'!X6,Title!$M$1),"")</f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</c>
      <c r="CB8" s="74">
        <f ca="1">IF(OR(BY8&lt;&gt;"",BZ8&lt;&gt;""),RANK(CC8,CC$5:INDIRECT(CB$1,TRUE)),"")</f>
      </c>
      <c r="CC8" s="77">
        <f t="shared" si="34"/>
      </c>
      <c r="CD8" s="77">
        <f t="shared" si="12"/>
      </c>
      <c r="CE8" s="105">
        <f ca="1">IF(CD8&lt;&gt;"",RANK(CD8,CD$5:INDIRECT(CE$1,TRUE)),"")</f>
      </c>
      <c r="CF8" s="114">
        <f>IF(AND('Raw Data'!Z6&lt;&gt;"",'Raw Data'!Z6&lt;&gt;0),ROUNDDOWN('Raw Data'!Z6,Title!$M$1),"")</f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</c>
      <c r="CI8" s="74">
        <f ca="1">IF(OR(CF8&lt;&gt;"",CG8&lt;&gt;""),RANK(CJ8,CJ$5:INDIRECT(CI$1,TRUE)),"")</f>
      </c>
      <c r="CJ8" s="77">
        <f t="shared" si="35"/>
      </c>
      <c r="CK8" s="77">
        <f t="shared" si="13"/>
      </c>
      <c r="CL8" s="105">
        <f ca="1">IF(CK8&lt;&gt;"",RANK(CK8,CK$5:INDIRECT(CL$1,TRUE)),"")</f>
      </c>
      <c r="CM8" s="114">
        <f>IF(AND('Raw Data'!AB6&lt;&gt;"",'Raw Data'!AB6&lt;&gt;0),ROUNDDOWN('Raw Data'!AB6,Title!$M$1),"")</f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</c>
      <c r="CP8" s="74">
        <f ca="1">IF(OR(CM8&lt;&gt;"",CN8&lt;&gt;""),RANK(CQ8,CQ$5:INDIRECT(CP$1,TRUE)),"")</f>
      </c>
      <c r="CQ8" s="77">
        <f t="shared" si="36"/>
      </c>
      <c r="CR8" s="77">
        <f t="shared" si="14"/>
      </c>
      <c r="CS8" s="105">
        <f ca="1">IF(CR8&lt;&gt;"",RANK(CR8,CR$5:INDIRECT(CS$1,TRUE)),"")</f>
      </c>
      <c r="CT8" s="114">
        <f>IF(AND('Raw Data'!AD6&lt;&gt;"",'Raw Data'!AD6&lt;&gt;0),ROUNDDOWN('Raw Data'!AD6,Title!$M$1),"")</f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</c>
      <c r="CW8" s="74">
        <f ca="1">IF(OR(CT8&lt;&gt;"",CU8&lt;&gt;""),RANK(CX8,CX$5:INDIRECT(CW$1,TRUE)),"")</f>
      </c>
      <c r="CX8" s="77">
        <f t="shared" si="37"/>
      </c>
      <c r="CY8" s="77">
        <f t="shared" si="15"/>
      </c>
      <c r="CZ8" s="105">
        <f ca="1">IF(CY8&lt;&gt;"",RANK(CY8,CY$5:INDIRECT(CZ$1,TRUE)),"")</f>
      </c>
      <c r="DA8" s="114">
        <f>IF(AND('Raw Data'!AF6&lt;&gt;"",'Raw Data'!AF6&lt;&gt;0),ROUNDDOWN('Raw Data'!AF6,Title!$M$1),"")</f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</c>
      <c r="DD8" s="74">
        <f ca="1">IF(OR(DA8&lt;&gt;"",DB8&lt;&gt;""),RANK(DE8,DE$5:INDIRECT(DD$1,TRUE)),"")</f>
      </c>
      <c r="DE8" s="77">
        <f t="shared" si="38"/>
      </c>
      <c r="DF8" s="77">
        <f t="shared" si="16"/>
      </c>
      <c r="DG8" s="105">
        <f ca="1">IF(DF8&lt;&gt;"",RANK(DF8,DF$5:INDIRECT(DG$1,TRUE)),"")</f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$ER$8:$EY$8</v>
      </c>
      <c r="ER8" s="77">
        <f t="shared" si="45"/>
        <v>841</v>
      </c>
      <c r="ES8" s="77">
        <f t="shared" si="46"/>
        <v>770.91</v>
      </c>
      <c r="ET8" s="77">
        <f t="shared" si="47"/>
        <v>963.74</v>
      </c>
      <c r="EU8" s="77">
        <f t="shared" si="48"/>
        <v>1000</v>
      </c>
      <c r="EV8" s="77">
        <f t="shared" si="49"/>
        <v>1000</v>
      </c>
      <c r="EW8" s="77">
        <f t="shared" si="50"/>
        <v>980.76</v>
      </c>
      <c r="EX8" s="77">
        <f t="shared" si="51"/>
        <v>1000</v>
      </c>
      <c r="EY8" s="77">
        <f t="shared" si="52"/>
        <v>943.98</v>
      </c>
      <c r="EZ8" s="77">
        <f t="shared" si="53"/>
        <v>0</v>
      </c>
      <c r="FA8" s="77">
        <f t="shared" si="54"/>
        <v>0</v>
      </c>
      <c r="FB8" s="77">
        <f t="shared" si="55"/>
        <v>0</v>
      </c>
      <c r="FC8" s="77">
        <f t="shared" si="56"/>
        <v>0</v>
      </c>
      <c r="FD8" s="77">
        <f t="shared" si="57"/>
        <v>0</v>
      </c>
      <c r="FE8" s="77">
        <f t="shared" si="58"/>
        <v>0</v>
      </c>
      <c r="FF8" s="77">
        <f t="shared" si="59"/>
        <v>0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$FM$8:$FT$8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GO8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770.91</v>
      </c>
      <c r="GL8" s="77">
        <f>GetDiscardScore($ER8:EV8,GL$1)</f>
        <v>770.91</v>
      </c>
      <c r="GM8" s="77">
        <f>GetDiscardScore($ER8:EW8,GM$1)</f>
        <v>770.91</v>
      </c>
      <c r="GN8" s="77">
        <f>GetDiscardScore($ER8:EX8,GN$1)</f>
        <v>770.91</v>
      </c>
      <c r="GO8" s="77">
        <f>GetDiscardScore($ER8:EY8,GO$1)</f>
        <v>770.91</v>
      </c>
      <c r="GP8" s="77">
        <f>GetDiscardScore($ER8:EZ8,GP$1)</f>
        <v>0</v>
      </c>
      <c r="GQ8" s="77">
        <f>GetDiscardScore($ER8:FA8,GQ$1)</f>
        <v>0</v>
      </c>
      <c r="GR8" s="77">
        <f>GetDiscardScore($ER8:FB8,GR$1)</f>
        <v>0</v>
      </c>
      <c r="GS8" s="77">
        <f>GetDiscardScore($ER8:FC8,GS$1)</f>
        <v>0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0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6729.48</v>
      </c>
      <c r="HC8" s="78">
        <f ca="1">IF(HB8&lt;&gt;"",RANK(HB8,HB$5:INDIRECT(HC$1,TRUE),0),"")</f>
        <v>3</v>
      </c>
      <c r="HD8" s="76" t="str">
        <f ca="1" t="shared" si="88"/>
        <v>2</v>
      </c>
    </row>
    <row r="9" spans="1:212" s="74" customFormat="1" ht="9.75">
      <c r="A9" s="39">
        <v>5</v>
      </c>
      <c r="B9" s="39" t="str">
        <f>IF('Raw Data'!B7&lt;&gt;"",'Raw Data'!B7,"")</f>
        <v>Steve Haley</v>
      </c>
      <c r="C9" s="74">
        <f>IF('Raw Data'!C7&lt;&gt;"",'Raw Data'!C7,"")</f>
        <v>24</v>
      </c>
      <c r="D9" s="40">
        <f t="shared" si="22"/>
        <v>6802.11</v>
      </c>
      <c r="E9" s="75">
        <f t="shared" si="23"/>
        <v>2</v>
      </c>
      <c r="F9" s="100" t="str">
        <f t="shared" si="0"/>
        <v>2</v>
      </c>
      <c r="G9" s="114">
        <f>IF(AND('Raw Data'!D7&lt;&gt;"",'Raw Data'!D7&lt;&gt;0),ROUNDDOWN('Raw Data'!D7,Title!$M$1),"")</f>
        <v>61.73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1000</v>
      </c>
      <c r="J9" s="74">
        <f ca="1">IF(K9&lt;&gt;0,RANK(K9,K$5:INDIRECT(J$1,TRUE)),"")</f>
        <v>1</v>
      </c>
      <c r="K9" s="77">
        <f t="shared" si="1"/>
        <v>1000</v>
      </c>
      <c r="L9" s="77">
        <f t="shared" si="2"/>
        <v>1000</v>
      </c>
      <c r="M9" s="105">
        <f ca="1">IF(L9&lt;&gt;"",RANK(L9,L$5:INDIRECT(M$1,TRUE)),"")</f>
        <v>1</v>
      </c>
      <c r="N9" s="114">
        <f>IF(AND('Raw Data'!F7&lt;&gt;"",'Raw Data'!F7&lt;&gt;0),ROUNDDOWN('Raw Data'!F7,Title!$M$1),"")</f>
        <v>61.14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785.41</v>
      </c>
      <c r="Q9" s="74">
        <f ca="1">IF(OR(N9&lt;&gt;"",O9&lt;&gt;""),RANK(R9,R$5:INDIRECT(Q$1,TRUE)),"")</f>
        <v>3</v>
      </c>
      <c r="R9" s="77">
        <f t="shared" si="24"/>
        <v>785.41</v>
      </c>
      <c r="S9" s="77">
        <f t="shared" si="3"/>
        <v>1785.41</v>
      </c>
      <c r="T9" s="105">
        <f ca="1">IF(S9&lt;&gt;"",RANK(S9,S$5:INDIRECT(T$1,TRUE)),"")</f>
        <v>2</v>
      </c>
      <c r="U9" s="114">
        <f>IF(AND('Raw Data'!H7&lt;&gt;"",'Raw Data'!H7&lt;&gt;0),ROUNDDOWN('Raw Data'!H7,Title!$M$1),"")</f>
        <v>61.4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1000</v>
      </c>
      <c r="X9" s="74">
        <f ca="1">IF(OR(U9&lt;&gt;"",V9&lt;&gt;""),RANK(Y9,Y$5:INDIRECT(X$1,TRUE)),"")</f>
        <v>1</v>
      </c>
      <c r="Y9" s="77">
        <f t="shared" si="25"/>
        <v>1000</v>
      </c>
      <c r="Z9" s="77">
        <f t="shared" si="4"/>
        <v>2785.41</v>
      </c>
      <c r="AA9" s="105">
        <f ca="1">IF(Z9&lt;&gt;"",RANK(Z9,Z$5:INDIRECT(AA$1,TRUE)),"")</f>
        <v>2</v>
      </c>
      <c r="AB9" s="114">
        <f>IF(AND('Raw Data'!J7&lt;&gt;"",'Raw Data'!J7&lt;&gt;0),ROUNDDOWN('Raw Data'!J7,Title!$M$1),"")</f>
        <v>58.49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996.4</v>
      </c>
      <c r="AE9" s="74">
        <f ca="1">IF(OR(AB9&lt;&gt;"",AC9&lt;&gt;""),RANK(AF9,AF$5:INDIRECT(AE$1,TRUE)),"")</f>
        <v>2</v>
      </c>
      <c r="AF9" s="77">
        <f t="shared" si="26"/>
        <v>996.4</v>
      </c>
      <c r="AG9" s="77">
        <f t="shared" si="5"/>
        <v>2996.4</v>
      </c>
      <c r="AH9" s="105">
        <f ca="1">IF(AG9&lt;&gt;"",RANK(AG9,AG$5:INDIRECT(AH$1,TRUE)),"")</f>
        <v>1</v>
      </c>
      <c r="AI9" s="114">
        <f>IF(AND('Raw Data'!L7&lt;&gt;"",'Raw Data'!L7&lt;&gt;0),ROUNDDOWN('Raw Data'!L7,Title!$M$1),"")</f>
        <v>57.81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951.04</v>
      </c>
      <c r="AL9" s="74">
        <f ca="1">IF(OR(AI9&lt;&gt;"",AJ9&lt;&gt;""),RANK(AM9,AM$5:INDIRECT(AL$1,TRUE)),"")</f>
        <v>3</v>
      </c>
      <c r="AM9" s="77">
        <f t="shared" si="27"/>
        <v>951.04</v>
      </c>
      <c r="AN9" s="77">
        <f t="shared" si="6"/>
        <v>3947.44</v>
      </c>
      <c r="AO9" s="105">
        <f ca="1">IF(AN9&lt;&gt;"",RANK(AN9,AN$5:INDIRECT(AO$1,TRUE)),"")</f>
        <v>1</v>
      </c>
      <c r="AP9" s="114">
        <f>IF(AND('Raw Data'!N7&lt;&gt;"",'Raw Data'!N7&lt;&gt;0),ROUNDDOWN('Raw Data'!N7,Title!$M$1),"")</f>
        <v>64.82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951.71</v>
      </c>
      <c r="AS9" s="74">
        <f ca="1">IF(OR(AP9&lt;&gt;"",AQ9&lt;&gt;""),RANK(AT9,AT$5:INDIRECT(AS$1,TRUE)),"")</f>
        <v>3</v>
      </c>
      <c r="AT9" s="77">
        <f t="shared" si="28"/>
        <v>951.71</v>
      </c>
      <c r="AU9" s="77">
        <f t="shared" si="7"/>
        <v>4899.15</v>
      </c>
      <c r="AV9" s="105">
        <f ca="1">IF(AU9&lt;&gt;"",RANK(AU9,AU$5:INDIRECT(AV$1,TRUE)),"")</f>
        <v>2</v>
      </c>
      <c r="AW9" s="114">
        <f>IF(AND('Raw Data'!P7&lt;&gt;"",'Raw Data'!P7&lt;&gt;0),ROUNDDOWN('Raw Data'!P7,Title!$M$1),"")</f>
        <v>54.71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998.9</v>
      </c>
      <c r="AZ9" s="74">
        <f ca="1">IF(OR(AW9&lt;&gt;"",AX9&lt;&gt;""),RANK(BA9,BA$5:INDIRECT(AZ$1,TRUE)),"")</f>
        <v>2</v>
      </c>
      <c r="BA9" s="77">
        <f t="shared" si="29"/>
        <v>998.9</v>
      </c>
      <c r="BB9" s="77">
        <f t="shared" si="8"/>
        <v>5898.05</v>
      </c>
      <c r="BC9" s="105">
        <f ca="1">IF(BB9&lt;&gt;"",RANK(BB9,BB$5:INDIRECT(BC$1,TRUE)),"")</f>
        <v>1</v>
      </c>
      <c r="BD9" s="114">
        <f>IF(AND('Raw Data'!R7&lt;&gt;"",'Raw Data'!R7&lt;&gt;0),ROUNDDOWN('Raw Data'!R7,Title!$M$1),"")</f>
        <v>66.92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904.06</v>
      </c>
      <c r="BG9" s="74">
        <f ca="1">IF(OR(BD9&lt;&gt;"",BE9&lt;&gt;""),RANK(BH9,BH$5:INDIRECT(BG$1,TRUE)),"")</f>
        <v>3</v>
      </c>
      <c r="BH9" s="77">
        <f t="shared" si="30"/>
        <v>904.06</v>
      </c>
      <c r="BI9" s="77">
        <f t="shared" si="9"/>
        <v>6802.11</v>
      </c>
      <c r="BJ9" s="105">
        <f ca="1">IF(BI9&lt;&gt;"",RANK(BI9,BI$5:INDIRECT(BJ$1,TRUE)),"")</f>
        <v>2</v>
      </c>
      <c r="BK9" s="114">
        <f>IF(AND('Raw Data'!T7&lt;&gt;"",'Raw Data'!T7&lt;&gt;0),ROUNDDOWN('Raw Data'!T7,Title!$M$1),"")</f>
      </c>
      <c r="BL9" s="110">
        <f>IF(AND('Raw Data'!U7&lt;&gt;"",'Raw Data'!U7&lt;&gt;0),'Raw Data'!U7,"")</f>
      </c>
      <c r="BM9" s="98">
        <f t="shared" si="31"/>
      </c>
      <c r="BN9" s="74">
        <f ca="1">IF(OR(BK9&lt;&gt;"",BL9&lt;&gt;""),RANK(BO9,BO$5:INDIRECT(BN$1,TRUE)),"")</f>
      </c>
      <c r="BO9" s="77">
        <f t="shared" si="32"/>
      </c>
      <c r="BP9" s="77">
        <f t="shared" si="10"/>
      </c>
      <c r="BQ9" s="105">
        <f ca="1">IF(BP9&lt;&gt;"",RANK(BP9,BP$5:INDIRECT(BQ$1,TRUE)),"")</f>
      </c>
      <c r="BR9" s="114">
        <f>IF(AND('Raw Data'!V7&lt;&gt;"",'Raw Data'!V7&lt;&gt;0),ROUNDDOWN('Raw Data'!V7,Title!$M$1),"")</f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</c>
      <c r="BU9" s="74">
        <f ca="1">IF(OR(BR9&lt;&gt;"",BS9&lt;&gt;""),RANK(BV9,BV$5:INDIRECT(BU$1,TRUE)),"")</f>
      </c>
      <c r="BV9" s="77">
        <f t="shared" si="33"/>
      </c>
      <c r="BW9" s="77">
        <f t="shared" si="11"/>
      </c>
      <c r="BX9" s="105">
        <f ca="1">IF(BW9&lt;&gt;"",RANK(BW9,BW$5:INDIRECT(BX$1,TRUE)),"")</f>
      </c>
      <c r="BY9" s="114">
        <f>IF(AND('Raw Data'!X7&lt;&gt;"",'Raw Data'!X7&lt;&gt;0),ROUNDDOWN('Raw Data'!X7,Title!$M$1),"")</f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</c>
      <c r="CB9" s="74">
        <f ca="1">IF(OR(BY9&lt;&gt;"",BZ9&lt;&gt;""),RANK(CC9,CC$5:INDIRECT(CB$1,TRUE)),"")</f>
      </c>
      <c r="CC9" s="77">
        <f t="shared" si="34"/>
      </c>
      <c r="CD9" s="77">
        <f t="shared" si="12"/>
      </c>
      <c r="CE9" s="105">
        <f ca="1">IF(CD9&lt;&gt;"",RANK(CD9,CD$5:INDIRECT(CE$1,TRUE)),"")</f>
      </c>
      <c r="CF9" s="114">
        <f>IF(AND('Raw Data'!Z7&lt;&gt;"",'Raw Data'!Z7&lt;&gt;0),ROUNDDOWN('Raw Data'!Z7,Title!$M$1),"")</f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</c>
      <c r="CI9" s="74">
        <f ca="1">IF(OR(CF9&lt;&gt;"",CG9&lt;&gt;""),RANK(CJ9,CJ$5:INDIRECT(CI$1,TRUE)),"")</f>
      </c>
      <c r="CJ9" s="77">
        <f t="shared" si="35"/>
      </c>
      <c r="CK9" s="77">
        <f t="shared" si="13"/>
      </c>
      <c r="CL9" s="105">
        <f ca="1">IF(CK9&lt;&gt;"",RANK(CK9,CK$5:INDIRECT(CL$1,TRUE)),"")</f>
      </c>
      <c r="CM9" s="114">
        <f>IF(AND('Raw Data'!AB7&lt;&gt;"",'Raw Data'!AB7&lt;&gt;0),ROUNDDOWN('Raw Data'!AB7,Title!$M$1),"")</f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</c>
      <c r="CP9" s="74">
        <f ca="1">IF(OR(CM9&lt;&gt;"",CN9&lt;&gt;""),RANK(CQ9,CQ$5:INDIRECT(CP$1,TRUE)),"")</f>
      </c>
      <c r="CQ9" s="77">
        <f t="shared" si="36"/>
      </c>
      <c r="CR9" s="77">
        <f t="shared" si="14"/>
      </c>
      <c r="CS9" s="105">
        <f ca="1">IF(CR9&lt;&gt;"",RANK(CR9,CR$5:INDIRECT(CS$1,TRUE)),"")</f>
      </c>
      <c r="CT9" s="114">
        <f>IF(AND('Raw Data'!AD7&lt;&gt;"",'Raw Data'!AD7&lt;&gt;0),ROUNDDOWN('Raw Data'!AD7,Title!$M$1),"")</f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</c>
      <c r="CW9" s="74">
        <f ca="1">IF(OR(CT9&lt;&gt;"",CU9&lt;&gt;""),RANK(CX9,CX$5:INDIRECT(CW$1,TRUE)),"")</f>
      </c>
      <c r="CX9" s="77">
        <f t="shared" si="37"/>
      </c>
      <c r="CY9" s="77">
        <f t="shared" si="15"/>
      </c>
      <c r="CZ9" s="105">
        <f ca="1">IF(CY9&lt;&gt;"",RANK(CY9,CY$5:INDIRECT(CZ$1,TRUE)),"")</f>
      </c>
      <c r="DA9" s="114">
        <f>IF(AND('Raw Data'!AF7&lt;&gt;"",'Raw Data'!AF7&lt;&gt;0),ROUNDDOWN('Raw Data'!AF7,Title!$M$1),"")</f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</c>
      <c r="DD9" s="74">
        <f ca="1">IF(OR(DA9&lt;&gt;"",DB9&lt;&gt;""),RANK(DE9,DE$5:INDIRECT(DD$1,TRUE)),"")</f>
      </c>
      <c r="DE9" s="77">
        <f t="shared" si="38"/>
      </c>
      <c r="DF9" s="77">
        <f t="shared" si="16"/>
      </c>
      <c r="DG9" s="105">
        <f ca="1">IF(DF9&lt;&gt;"",RANK(DF9,DF$5:INDIRECT(DG$1,TRUE)),"")</f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$ER$9:$EY$9</v>
      </c>
      <c r="ER9" s="77">
        <f t="shared" si="45"/>
        <v>1000</v>
      </c>
      <c r="ES9" s="77">
        <f t="shared" si="46"/>
        <v>785.41</v>
      </c>
      <c r="ET9" s="77">
        <f t="shared" si="47"/>
        <v>1000</v>
      </c>
      <c r="EU9" s="77">
        <f t="shared" si="48"/>
        <v>996.4</v>
      </c>
      <c r="EV9" s="77">
        <f t="shared" si="49"/>
        <v>951.04</v>
      </c>
      <c r="EW9" s="77">
        <f t="shared" si="50"/>
        <v>951.71</v>
      </c>
      <c r="EX9" s="77">
        <f t="shared" si="51"/>
        <v>998.9</v>
      </c>
      <c r="EY9" s="77">
        <f t="shared" si="52"/>
        <v>904.06</v>
      </c>
      <c r="EZ9" s="77">
        <f t="shared" si="53"/>
        <v>0</v>
      </c>
      <c r="FA9" s="77">
        <f t="shared" si="54"/>
        <v>0</v>
      </c>
      <c r="FB9" s="77">
        <f t="shared" si="55"/>
        <v>0</v>
      </c>
      <c r="FC9" s="77">
        <f t="shared" si="56"/>
        <v>0</v>
      </c>
      <c r="FD9" s="77">
        <f t="shared" si="57"/>
        <v>0</v>
      </c>
      <c r="FE9" s="77">
        <f t="shared" si="58"/>
        <v>0</v>
      </c>
      <c r="FF9" s="77">
        <f t="shared" si="59"/>
        <v>0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$FM$9:$FT$9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GO9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785.41</v>
      </c>
      <c r="GL9" s="77">
        <f>GetDiscardScore($ER9:EV9,GL$1)</f>
        <v>785.41</v>
      </c>
      <c r="GM9" s="77">
        <f>GetDiscardScore($ER9:EW9,GM$1)</f>
        <v>785.41</v>
      </c>
      <c r="GN9" s="77">
        <f>GetDiscardScore($ER9:EX9,GN$1)</f>
        <v>785.41</v>
      </c>
      <c r="GO9" s="77">
        <f>GetDiscardScore($ER9:EY9,GO$1)</f>
        <v>785.41</v>
      </c>
      <c r="GP9" s="77">
        <f>GetDiscardScore($ER9:EZ9,GP$1)</f>
        <v>0</v>
      </c>
      <c r="GQ9" s="77">
        <f>GetDiscardScore($ER9:FA9,GQ$1)</f>
        <v>0</v>
      </c>
      <c r="GR9" s="77">
        <f>GetDiscardScore($ER9:FB9,GR$1)</f>
        <v>0</v>
      </c>
      <c r="GS9" s="77">
        <f>GetDiscardScore($ER9:FC9,GS$1)</f>
        <v>0</v>
      </c>
      <c r="GT9" s="77">
        <f>GetDiscardScore($ER9:FD9,GT$1)</f>
        <v>0</v>
      </c>
      <c r="GU9" s="77">
        <f>GetDiscardScore($ER9:FE9,GU$1)</f>
        <v>0</v>
      </c>
      <c r="GV9" s="77">
        <f>GetDiscardScore($ER9:FF9,GV$1)</f>
        <v>0</v>
      </c>
      <c r="GW9" s="77">
        <f>GetDiscardScore($ER9:FG9,GW$1)</f>
        <v>0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6802.11</v>
      </c>
      <c r="HC9" s="78">
        <f ca="1">IF(HB9&lt;&gt;"",RANK(HB9,HB$5:INDIRECT(HC$1,TRUE),0),"")</f>
        <v>2</v>
      </c>
      <c r="HD9" s="76" t="str">
        <f ca="1" t="shared" si="88"/>
        <v>2</v>
      </c>
    </row>
    <row r="10" spans="1:212" s="74" customFormat="1" ht="9.75">
      <c r="A10" s="39">
        <v>6</v>
      </c>
      <c r="B10" s="39" t="str">
        <f>IF('Raw Data'!B8&lt;&gt;"",'Raw Data'!B8,"")</f>
        <v>Mark Treble</v>
      </c>
      <c r="C10" s="74">
        <f>IF('Raw Data'!C8&lt;&gt;"",'Raw Data'!C8,"")</f>
        <v>24</v>
      </c>
      <c r="D10" s="40">
        <f t="shared" si="22"/>
        <v>6303.95</v>
      </c>
      <c r="E10" s="75">
        <f t="shared" si="23"/>
        <v>4</v>
      </c>
      <c r="F10" s="100" t="str">
        <f t="shared" si="0"/>
        <v>2</v>
      </c>
      <c r="G10" s="114">
        <f>IF(AND('Raw Data'!D8&lt;&gt;"",'Raw Data'!D8&lt;&gt;0),ROUNDDOWN('Raw Data'!D8,Title!$M$1),"")</f>
        <v>68.52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900.9</v>
      </c>
      <c r="J10" s="74">
        <f ca="1">IF(K10&lt;&gt;0,RANK(K10,K$5:INDIRECT(J$1,TRUE)),"")</f>
        <v>3</v>
      </c>
      <c r="K10" s="77">
        <f t="shared" si="1"/>
        <v>900.9</v>
      </c>
      <c r="L10" s="77">
        <f t="shared" si="2"/>
        <v>900.9</v>
      </c>
      <c r="M10" s="105">
        <f ca="1">IF(L10&lt;&gt;"",RANK(L10,L$5:INDIRECT(M$1,TRUE)),"")</f>
        <v>3</v>
      </c>
      <c r="N10" s="114">
        <f>IF(AND('Raw Data'!F8&lt;&gt;"",'Raw Data'!F8&lt;&gt;0),ROUNDDOWN('Raw Data'!F8,Title!$M$1),"")</f>
        <v>66.52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721.88</v>
      </c>
      <c r="Q10" s="74">
        <f ca="1">IF(OR(N10&lt;&gt;"",O10&lt;&gt;""),RANK(R10,R$5:INDIRECT(Q$1,TRUE)),"")</f>
        <v>6</v>
      </c>
      <c r="R10" s="77">
        <f t="shared" si="24"/>
        <v>721.88</v>
      </c>
      <c r="S10" s="77">
        <f t="shared" si="3"/>
        <v>1622.78</v>
      </c>
      <c r="T10" s="105">
        <f ca="1">IF(S10&lt;&gt;"",RANK(S10,S$5:INDIRECT(T$1,TRUE)),"")</f>
        <v>4</v>
      </c>
      <c r="U10" s="114">
        <f>IF(AND('Raw Data'!H8&lt;&gt;"",'Raw Data'!H8&lt;&gt;0),ROUNDDOWN('Raw Data'!H8,Title!$M$1),"")</f>
        <v>63.03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974.13</v>
      </c>
      <c r="X10" s="74">
        <f ca="1">IF(OR(U10&lt;&gt;"",V10&lt;&gt;""),RANK(Y10,Y$5:INDIRECT(X$1,TRUE)),"")</f>
        <v>2</v>
      </c>
      <c r="Y10" s="77">
        <f t="shared" si="25"/>
        <v>974.13</v>
      </c>
      <c r="Z10" s="77">
        <f t="shared" si="4"/>
        <v>2596.91</v>
      </c>
      <c r="AA10" s="105">
        <f ca="1">IF(Z10&lt;&gt;"",RANK(Z10,Z$5:INDIRECT(AA$1,TRUE)),"")</f>
        <v>3</v>
      </c>
      <c r="AB10" s="114">
        <f>IF(AND('Raw Data'!J8&lt;&gt;"",'Raw Data'!J8&lt;&gt;0),ROUNDDOWN('Raw Data'!J8,Title!$M$1),"")</f>
        <v>63.93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911.62</v>
      </c>
      <c r="AE10" s="74">
        <f ca="1">IF(OR(AB10&lt;&gt;"",AC10&lt;&gt;""),RANK(AF10,AF$5:INDIRECT(AE$1,TRUE)),"")</f>
        <v>4</v>
      </c>
      <c r="AF10" s="77">
        <f t="shared" si="26"/>
        <v>911.62</v>
      </c>
      <c r="AG10" s="77">
        <f t="shared" si="5"/>
        <v>2786.65</v>
      </c>
      <c r="AH10" s="105">
        <f ca="1">IF(AG10&lt;&gt;"",RANK(AG10,AG$5:INDIRECT(AH$1,TRUE)),"")</f>
        <v>4</v>
      </c>
      <c r="AI10" s="114">
        <f>IF(AND('Raw Data'!L8&lt;&gt;"",'Raw Data'!L8&lt;&gt;0),ROUNDDOWN('Raw Data'!L8,Title!$M$1),"")</f>
        <v>68.7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800.29</v>
      </c>
      <c r="AL10" s="74">
        <f ca="1">IF(OR(AI10&lt;&gt;"",AJ10&lt;&gt;""),RANK(AM10,AM$5:INDIRECT(AL$1,TRUE)),"")</f>
        <v>5</v>
      </c>
      <c r="AM10" s="77">
        <f t="shared" si="27"/>
        <v>800.29</v>
      </c>
      <c r="AN10" s="77">
        <f t="shared" si="6"/>
        <v>3586.94</v>
      </c>
      <c r="AO10" s="105">
        <f ca="1">IF(AN10&lt;&gt;"",RANK(AN10,AN$5:INDIRECT(AO$1,TRUE)),"")</f>
        <v>4</v>
      </c>
      <c r="AP10" s="114">
        <f>IF(AND('Raw Data'!N8&lt;&gt;"",'Raw Data'!N8&lt;&gt;0),ROUNDDOWN('Raw Data'!N8,Title!$M$1),"")</f>
        <v>68.24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904.01</v>
      </c>
      <c r="AS10" s="74">
        <f ca="1">IF(OR(AP10&lt;&gt;"",AQ10&lt;&gt;""),RANK(AT10,AT$5:INDIRECT(AS$1,TRUE)),"")</f>
        <v>4</v>
      </c>
      <c r="AT10" s="77">
        <f t="shared" si="28"/>
        <v>904.01</v>
      </c>
      <c r="AU10" s="77">
        <f t="shared" si="7"/>
        <v>4490.95</v>
      </c>
      <c r="AV10" s="105">
        <f ca="1">IF(AU10&lt;&gt;"",RANK(AU10,AU$5:INDIRECT(AV$1,TRUE)),"")</f>
        <v>4</v>
      </c>
      <c r="AW10" s="114">
        <f>IF(AND('Raw Data'!P8&lt;&gt;"",'Raw Data'!P8&lt;&gt;0),ROUNDDOWN('Raw Data'!P8,Title!$M$1),"")</f>
        <v>59.78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914.18</v>
      </c>
      <c r="AZ10" s="74">
        <f ca="1">IF(OR(AW10&lt;&gt;"",AX10&lt;&gt;""),RANK(BA10,BA$5:INDIRECT(AZ$1,TRUE)),"")</f>
        <v>3</v>
      </c>
      <c r="BA10" s="77">
        <f t="shared" si="29"/>
        <v>914.18</v>
      </c>
      <c r="BB10" s="77">
        <f t="shared" si="8"/>
        <v>5405.13</v>
      </c>
      <c r="BC10" s="105">
        <f ca="1">IF(BB10&lt;&gt;"",RANK(BB10,BB$5:INDIRECT(BC$1,TRUE)),"")</f>
        <v>4</v>
      </c>
      <c r="BD10" s="114">
        <f>IF(AND('Raw Data'!R8&lt;&gt;"",'Raw Data'!R8&lt;&gt;0),ROUNDDOWN('Raw Data'!R8,Title!$M$1),"")</f>
        <v>67.31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898.82</v>
      </c>
      <c r="BG10" s="74">
        <f ca="1">IF(OR(BD10&lt;&gt;"",BE10&lt;&gt;""),RANK(BH10,BH$5:INDIRECT(BG$1,TRUE)),"")</f>
        <v>4</v>
      </c>
      <c r="BH10" s="77">
        <f t="shared" si="30"/>
        <v>898.82</v>
      </c>
      <c r="BI10" s="77">
        <f t="shared" si="9"/>
        <v>6303.95</v>
      </c>
      <c r="BJ10" s="105">
        <f ca="1">IF(BI10&lt;&gt;"",RANK(BI10,BI$5:INDIRECT(BJ$1,TRUE)),"")</f>
        <v>4</v>
      </c>
      <c r="BK10" s="114">
        <f>IF(AND('Raw Data'!T8&lt;&gt;"",'Raw Data'!T8&lt;&gt;0),ROUNDDOWN('Raw Data'!T8,Title!$M$1),"")</f>
      </c>
      <c r="BL10" s="110">
        <f>IF(AND('Raw Data'!U8&lt;&gt;"",'Raw Data'!U8&lt;&gt;0),'Raw Data'!U8,"")</f>
      </c>
      <c r="BM10" s="98">
        <f t="shared" si="31"/>
      </c>
      <c r="BN10" s="74">
        <f ca="1">IF(OR(BK10&lt;&gt;"",BL10&lt;&gt;""),RANK(BO10,BO$5:INDIRECT(BN$1,TRUE)),"")</f>
      </c>
      <c r="BO10" s="77">
        <f t="shared" si="32"/>
      </c>
      <c r="BP10" s="77">
        <f t="shared" si="10"/>
      </c>
      <c r="BQ10" s="105">
        <f ca="1">IF(BP10&lt;&gt;"",RANK(BP10,BP$5:INDIRECT(BQ$1,TRUE)),"")</f>
      </c>
      <c r="BR10" s="114">
        <f>IF(AND('Raw Data'!V8&lt;&gt;"",'Raw Data'!V8&lt;&gt;0),ROUNDDOWN('Raw Data'!V8,Title!$M$1),"")</f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</c>
      <c r="BU10" s="74">
        <f ca="1">IF(OR(BR10&lt;&gt;"",BS10&lt;&gt;""),RANK(BV10,BV$5:INDIRECT(BU$1,TRUE)),"")</f>
      </c>
      <c r="BV10" s="77">
        <f t="shared" si="33"/>
      </c>
      <c r="BW10" s="77">
        <f t="shared" si="11"/>
      </c>
      <c r="BX10" s="105">
        <f ca="1">IF(BW10&lt;&gt;"",RANK(BW10,BW$5:INDIRECT(BX$1,TRUE)),"")</f>
      </c>
      <c r="BY10" s="114">
        <f>IF(AND('Raw Data'!X8&lt;&gt;"",'Raw Data'!X8&lt;&gt;0),ROUNDDOWN('Raw Data'!X8,Title!$M$1),"")</f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</c>
      <c r="CB10" s="74">
        <f ca="1">IF(OR(BY10&lt;&gt;"",BZ10&lt;&gt;""),RANK(CC10,CC$5:INDIRECT(CB$1,TRUE)),"")</f>
      </c>
      <c r="CC10" s="77">
        <f t="shared" si="34"/>
      </c>
      <c r="CD10" s="77">
        <f t="shared" si="12"/>
      </c>
      <c r="CE10" s="105">
        <f ca="1">IF(CD10&lt;&gt;"",RANK(CD10,CD$5:INDIRECT(CE$1,TRUE)),"")</f>
      </c>
      <c r="CF10" s="114">
        <f>IF(AND('Raw Data'!Z8&lt;&gt;"",'Raw Data'!Z8&lt;&gt;0),ROUNDDOWN('Raw Data'!Z8,Title!$M$1),"")</f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</c>
      <c r="CI10" s="74">
        <f ca="1">IF(OR(CF10&lt;&gt;"",CG10&lt;&gt;""),RANK(CJ10,CJ$5:INDIRECT(CI$1,TRUE)),"")</f>
      </c>
      <c r="CJ10" s="77">
        <f t="shared" si="35"/>
      </c>
      <c r="CK10" s="77">
        <f t="shared" si="13"/>
      </c>
      <c r="CL10" s="105">
        <f ca="1">IF(CK10&lt;&gt;"",RANK(CK10,CK$5:INDIRECT(CL$1,TRUE)),"")</f>
      </c>
      <c r="CM10" s="114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36"/>
      </c>
      <c r="CR10" s="77">
        <f t="shared" si="14"/>
      </c>
      <c r="CS10" s="105">
        <f ca="1">IF(CR10&lt;&gt;"",RANK(CR10,CR$5:INDIRECT(CS$1,TRUE)),"")</f>
      </c>
      <c r="CT10" s="114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37"/>
      </c>
      <c r="CY10" s="77">
        <f t="shared" si="15"/>
      </c>
      <c r="CZ10" s="105">
        <f ca="1">IF(CY10&lt;&gt;"",RANK(CY10,CY$5:INDIRECT(CZ$1,TRUE)),"")</f>
      </c>
      <c r="DA10" s="114">
        <f>IF(AND('Raw Data'!AF8&lt;&gt;"",'Raw Data'!AF8&lt;&gt;0),ROUNDDOWN('Raw Data'!AF8,Title!$M$1),"")</f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</c>
      <c r="DE10" s="77">
        <f t="shared" si="38"/>
      </c>
      <c r="DF10" s="77">
        <f t="shared" si="16"/>
      </c>
      <c r="DG10" s="105">
        <f ca="1">IF(DF10&lt;&gt;"",RANK(DF10,DF$5:INDIRECT(DG$1,TRUE)),"")</f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$ER$10:$EY$10</v>
      </c>
      <c r="ER10" s="77">
        <f t="shared" si="45"/>
        <v>900.9</v>
      </c>
      <c r="ES10" s="77">
        <f t="shared" si="46"/>
        <v>721.88</v>
      </c>
      <c r="ET10" s="77">
        <f t="shared" si="47"/>
        <v>974.13</v>
      </c>
      <c r="EU10" s="77">
        <f t="shared" si="48"/>
        <v>911.62</v>
      </c>
      <c r="EV10" s="77">
        <f t="shared" si="49"/>
        <v>800.29</v>
      </c>
      <c r="EW10" s="77">
        <f t="shared" si="50"/>
        <v>904.01</v>
      </c>
      <c r="EX10" s="77">
        <f t="shared" si="51"/>
        <v>914.18</v>
      </c>
      <c r="EY10" s="77">
        <f t="shared" si="52"/>
        <v>898.82</v>
      </c>
      <c r="EZ10" s="77">
        <f t="shared" si="53"/>
        <v>0</v>
      </c>
      <c r="FA10" s="77">
        <f t="shared" si="54"/>
        <v>0</v>
      </c>
      <c r="FB10" s="77">
        <f t="shared" si="55"/>
        <v>0</v>
      </c>
      <c r="FC10" s="77">
        <f t="shared" si="56"/>
        <v>0</v>
      </c>
      <c r="FD10" s="77">
        <f t="shared" si="57"/>
        <v>0</v>
      </c>
      <c r="FE10" s="77">
        <f t="shared" si="58"/>
        <v>0</v>
      </c>
      <c r="FF10" s="77">
        <f t="shared" si="59"/>
        <v>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$FM$10:$FT$10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GO10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721.88</v>
      </c>
      <c r="GL10" s="77">
        <f>GetDiscardScore($ER10:EV10,GL$1)</f>
        <v>721.88</v>
      </c>
      <c r="GM10" s="77">
        <f>GetDiscardScore($ER10:EW10,GM$1)</f>
        <v>721.88</v>
      </c>
      <c r="GN10" s="77">
        <f>GetDiscardScore($ER10:EX10,GN$1)</f>
        <v>721.88</v>
      </c>
      <c r="GO10" s="77">
        <f>GetDiscardScore($ER10:EY10,GO$1)</f>
        <v>721.88</v>
      </c>
      <c r="GP10" s="77">
        <f>GetDiscardScore($ER10:EZ10,GP$1)</f>
        <v>0</v>
      </c>
      <c r="GQ10" s="77">
        <f>GetDiscardScore($ER10:FA10,GQ$1)</f>
        <v>0</v>
      </c>
      <c r="GR10" s="77">
        <f>GetDiscardScore($ER10:FB10,GR$1)</f>
        <v>0</v>
      </c>
      <c r="GS10" s="77">
        <f>GetDiscardScore($ER10:FC10,GS$1)</f>
        <v>0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6303.95</v>
      </c>
      <c r="HC10" s="78">
        <f ca="1">IF(HB10&lt;&gt;"",RANK(HB10,HB$5:INDIRECT(HC$1,TRUE),0),"")</f>
        <v>4</v>
      </c>
      <c r="HD10" s="76" t="str">
        <f ca="1" t="shared" si="88"/>
        <v>2</v>
      </c>
    </row>
    <row r="11" spans="1:212" s="51" customFormat="1" ht="9.75">
      <c r="A11" s="41">
        <v>7</v>
      </c>
      <c r="B11" s="41">
        <f>IF('Raw Data'!B9&lt;&gt;"",'Raw Data'!B9,"")</f>
      </c>
      <c r="C11" s="51">
        <f>IF('Raw Data'!C9&lt;&gt;"",'Raw Data'!C9,"")</f>
      </c>
      <c r="D11" s="42">
        <f t="shared" si="22"/>
      </c>
      <c r="E11" s="69">
        <f t="shared" si="23"/>
      </c>
      <c r="F11" s="99">
        <f t="shared" si="0"/>
      </c>
      <c r="G11" s="111">
        <f>IF(AND('Raw Data'!D9&lt;&gt;"",'Raw Data'!D9&lt;&gt;0),ROUNDDOWN('Raw Data'!D9,Title!$M$1),"")</f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</c>
      <c r="J11" s="51">
        <f ca="1">IF(K11&lt;&gt;0,RANK(K11,K$5:INDIRECT(J$1,TRUE)),"")</f>
      </c>
      <c r="K11" s="71">
        <f t="shared" si="1"/>
        <v>0</v>
      </c>
      <c r="L11" s="71">
        <f t="shared" si="2"/>
      </c>
      <c r="M11" s="104">
        <f ca="1">IF(L11&lt;&gt;"",RANK(L11,L$5:INDIRECT(M$1,TRUE)),"")</f>
      </c>
      <c r="N11" s="111">
        <f>IF(AND('Raw Data'!F9&lt;&gt;"",'Raw Data'!F9&lt;&gt;0),ROUNDDOWN('Raw Data'!F9,Title!$M$1),"")</f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</c>
      <c r="Q11" s="51">
        <f ca="1">IF(OR(N11&lt;&gt;"",O11&lt;&gt;""),RANK(R11,R$5:INDIRECT(Q$1,TRUE)),"")</f>
      </c>
      <c r="R11" s="71">
        <f t="shared" si="24"/>
      </c>
      <c r="S11" s="71">
        <f t="shared" si="3"/>
      </c>
      <c r="T11" s="104">
        <f ca="1">IF(S11&lt;&gt;"",RANK(S11,S$5:INDIRECT(T$1,TRUE)),"")</f>
      </c>
      <c r="U11" s="111">
        <f>IF(AND('Raw Data'!H9&lt;&gt;"",'Raw Data'!H9&lt;&gt;0),ROUNDDOWN('Raw Data'!H9,Title!$M$1),"")</f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</c>
      <c r="X11" s="51">
        <f ca="1">IF(OR(U11&lt;&gt;"",V11&lt;&gt;""),RANK(Y11,Y$5:INDIRECT(X$1,TRUE)),"")</f>
      </c>
      <c r="Y11" s="71">
        <f t="shared" si="25"/>
      </c>
      <c r="Z11" s="71">
        <f t="shared" si="4"/>
      </c>
      <c r="AA11" s="104">
        <f ca="1">IF(Z11&lt;&gt;"",RANK(Z11,Z$5:INDIRECT(AA$1,TRUE)),"")</f>
      </c>
      <c r="AB11" s="111">
        <f>IF(AND('Raw Data'!J9&lt;&gt;"",'Raw Data'!J9&lt;&gt;0),ROUNDDOWN('Raw Data'!J9,Title!$M$1),"")</f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</c>
      <c r="AE11" s="51">
        <f ca="1">IF(OR(AB11&lt;&gt;"",AC11&lt;&gt;""),RANK(AF11,AF$5:INDIRECT(AE$1,TRUE)),"")</f>
      </c>
      <c r="AF11" s="71">
        <f t="shared" si="26"/>
      </c>
      <c r="AG11" s="71">
        <f t="shared" si="5"/>
      </c>
      <c r="AH11" s="104">
        <f ca="1">IF(AG11&lt;&gt;"",RANK(AG11,AG$5:INDIRECT(AH$1,TRUE)),"")</f>
      </c>
      <c r="AI11" s="111">
        <f>IF(AND('Raw Data'!L9&lt;&gt;"",'Raw Data'!L9&lt;&gt;0),ROUNDDOWN('Raw Data'!L9,Title!$M$1),"")</f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</c>
      <c r="AL11" s="51">
        <f ca="1">IF(OR(AI11&lt;&gt;"",AJ11&lt;&gt;""),RANK(AM11,AM$5:INDIRECT(AL$1,TRUE)),"")</f>
      </c>
      <c r="AM11" s="71">
        <f t="shared" si="27"/>
      </c>
      <c r="AN11" s="71">
        <f t="shared" si="6"/>
      </c>
      <c r="AO11" s="104">
        <f ca="1">IF(AN11&lt;&gt;"",RANK(AN11,AN$5:INDIRECT(AO$1,TRUE)),"")</f>
      </c>
      <c r="AP11" s="111">
        <f>IF(AND('Raw Data'!N9&lt;&gt;"",'Raw Data'!N9&lt;&gt;0),ROUNDDOWN('Raw Data'!N9,Title!$M$1),"")</f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</c>
      <c r="AS11" s="51">
        <f ca="1">IF(OR(AP11&lt;&gt;"",AQ11&lt;&gt;""),RANK(AT11,AT$5:INDIRECT(AS$1,TRUE)),"")</f>
      </c>
      <c r="AT11" s="71">
        <f t="shared" si="28"/>
      </c>
      <c r="AU11" s="71">
        <f t="shared" si="7"/>
      </c>
      <c r="AV11" s="104">
        <f ca="1">IF(AU11&lt;&gt;"",RANK(AU11,AU$5:INDIRECT(AV$1,TRUE)),"")</f>
      </c>
      <c r="AW11" s="111">
        <f>IF(AND('Raw Data'!P9&lt;&gt;"",'Raw Data'!P9&lt;&gt;0),ROUNDDOWN('Raw Data'!P9,Title!$M$1),"")</f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</c>
      <c r="AZ11" s="51">
        <f ca="1">IF(OR(AW11&lt;&gt;"",AX11&lt;&gt;""),RANK(BA11,BA$5:INDIRECT(AZ$1,TRUE)),"")</f>
      </c>
      <c r="BA11" s="71">
        <f t="shared" si="29"/>
      </c>
      <c r="BB11" s="71">
        <f t="shared" si="8"/>
      </c>
      <c r="BC11" s="104">
        <f ca="1">IF(BB11&lt;&gt;"",RANK(BB11,BB$5:INDIRECT(BC$1,TRUE)),"")</f>
      </c>
      <c r="BD11" s="111">
        <f>IF(AND('Raw Data'!R9&lt;&gt;"",'Raw Data'!R9&lt;&gt;0),ROUNDDOWN('Raw Data'!R9,Title!$M$1),"")</f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</c>
      <c r="BG11" s="51">
        <f ca="1">IF(OR(BD11&lt;&gt;"",BE11&lt;&gt;""),RANK(BH11,BH$5:INDIRECT(BG$1,TRUE)),"")</f>
      </c>
      <c r="BH11" s="71">
        <f t="shared" si="30"/>
      </c>
      <c r="BI11" s="71">
        <f t="shared" si="9"/>
      </c>
      <c r="BJ11" s="104">
        <f ca="1">IF(BI11&lt;&gt;"",RANK(BI11,BI$5:INDIRECT(BJ$1,TRUE)),"")</f>
      </c>
      <c r="BK11" s="111">
        <f>IF(AND('Raw Data'!T9&lt;&gt;"",'Raw Data'!T9&lt;&gt;0),ROUNDDOWN('Raw Data'!T9,Title!$M$1),"")</f>
      </c>
      <c r="BL11" s="109">
        <f>IF(AND('Raw Data'!U9&lt;&gt;"",'Raw Data'!U9&lt;&gt;0),'Raw Data'!U9,"")</f>
      </c>
      <c r="BM11" s="97">
        <f t="shared" si="31"/>
      </c>
      <c r="BN11" s="51">
        <f ca="1">IF(OR(BK11&lt;&gt;"",BL11&lt;&gt;""),RANK(BO11,BO$5:INDIRECT(BN$1,TRUE)),"")</f>
      </c>
      <c r="BO11" s="71">
        <f t="shared" si="32"/>
      </c>
      <c r="BP11" s="71">
        <f t="shared" si="10"/>
      </c>
      <c r="BQ11" s="104">
        <f ca="1">IF(BP11&lt;&gt;"",RANK(BP11,BP$5:INDIRECT(BQ$1,TRUE)),"")</f>
      </c>
      <c r="BR11" s="111">
        <f>IF(AND('Raw Data'!V9&lt;&gt;"",'Raw Data'!V9&lt;&gt;0),ROUNDDOWN('Raw Data'!V9,Title!$M$1),"")</f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</c>
      <c r="BU11" s="51">
        <f ca="1">IF(OR(BR11&lt;&gt;"",BS11&lt;&gt;""),RANK(BV11,BV$5:INDIRECT(BU$1,TRUE)),"")</f>
      </c>
      <c r="BV11" s="71">
        <f t="shared" si="33"/>
      </c>
      <c r="BW11" s="71">
        <f t="shared" si="11"/>
      </c>
      <c r="BX11" s="104">
        <f ca="1">IF(BW11&lt;&gt;"",RANK(BW11,BW$5:INDIRECT(BX$1,TRUE)),"")</f>
      </c>
      <c r="BY11" s="111">
        <f>IF(AND('Raw Data'!X9&lt;&gt;"",'Raw Data'!X9&lt;&gt;0),ROUNDDOWN('Raw Data'!X9,Title!$M$1),"")</f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</c>
      <c r="CB11" s="51">
        <f ca="1">IF(OR(BY11&lt;&gt;"",BZ11&lt;&gt;""),RANK(CC11,CC$5:INDIRECT(CB$1,TRUE)),"")</f>
      </c>
      <c r="CC11" s="71">
        <f t="shared" si="34"/>
      </c>
      <c r="CD11" s="71">
        <f t="shared" si="12"/>
      </c>
      <c r="CE11" s="104">
        <f ca="1">IF(CD11&lt;&gt;"",RANK(CD11,CD$5:INDIRECT(CE$1,TRUE)),"")</f>
      </c>
      <c r="CF11" s="111">
        <f>IF(AND('Raw Data'!Z9&lt;&gt;"",'Raw Data'!Z9&lt;&gt;0),ROUNDDOWN('Raw Data'!Z9,Title!$M$1),"")</f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</c>
      <c r="CI11" s="51">
        <f ca="1">IF(OR(CF11&lt;&gt;"",CG11&lt;&gt;""),RANK(CJ11,CJ$5:INDIRECT(CI$1,TRUE)),"")</f>
      </c>
      <c r="CJ11" s="71">
        <f t="shared" si="35"/>
      </c>
      <c r="CK11" s="71">
        <f t="shared" si="13"/>
      </c>
      <c r="CL11" s="104">
        <f ca="1">IF(CK11&lt;&gt;"",RANK(CK11,CK$5:INDIRECT(CL$1,TRUE)),"")</f>
      </c>
      <c r="CM11" s="111">
        <f>IF(AND('Raw Data'!AB9&lt;&gt;"",'Raw Data'!AB9&lt;&gt;0),ROUNDDOWN('Raw Data'!AB9,Title!$M$1),"")</f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</c>
      <c r="CP11" s="51">
        <f ca="1">IF(OR(CM11&lt;&gt;"",CN11&lt;&gt;""),RANK(CQ11,CQ$5:INDIRECT(CP$1,TRUE)),"")</f>
      </c>
      <c r="CQ11" s="71">
        <f t="shared" si="36"/>
      </c>
      <c r="CR11" s="71">
        <f t="shared" si="14"/>
      </c>
      <c r="CS11" s="104">
        <f ca="1">IF(CR11&lt;&gt;"",RANK(CR11,CR$5:INDIRECT(CS$1,TRUE)),"")</f>
      </c>
      <c r="CT11" s="111">
        <f>IF(AND('Raw Data'!AD9&lt;&gt;"",'Raw Data'!AD9&lt;&gt;0),ROUNDDOWN('Raw Data'!AD9,Title!$M$1),"")</f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</c>
      <c r="CW11" s="51">
        <f ca="1">IF(OR(CT11&lt;&gt;"",CU11&lt;&gt;""),RANK(CX11,CX$5:INDIRECT(CW$1,TRUE)),"")</f>
      </c>
      <c r="CX11" s="71">
        <f t="shared" si="37"/>
      </c>
      <c r="CY11" s="71">
        <f t="shared" si="15"/>
      </c>
      <c r="CZ11" s="104">
        <f ca="1">IF(CY11&lt;&gt;"",RANK(CY11,CY$5:INDIRECT(CZ$1,TRUE)),"")</f>
      </c>
      <c r="DA11" s="111">
        <f>IF(AND('Raw Data'!AF9&lt;&gt;"",'Raw Data'!AF9&lt;&gt;0),ROUNDDOWN('Raw Data'!AF9,Title!$M$1),"")</f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</c>
      <c r="DD11" s="51">
        <f ca="1">IF(OR(DA11&lt;&gt;"",DB11&lt;&gt;""),RANK(DE11,DE$5:INDIRECT(DD$1,TRUE)),"")</f>
      </c>
      <c r="DE11" s="71">
        <f t="shared" si="38"/>
      </c>
      <c r="DF11" s="71">
        <f t="shared" si="16"/>
      </c>
      <c r="DG11" s="104">
        <f ca="1">IF(DF11&lt;&gt;"",RANK(DF11,DF$5:INDIRECT(DG$1,TRUE)),"")</f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$ER$11:$EY$11</v>
      </c>
      <c r="ER11" s="71">
        <f t="shared" si="45"/>
        <v>0</v>
      </c>
      <c r="ES11" s="71">
        <f t="shared" si="46"/>
        <v>0</v>
      </c>
      <c r="ET11" s="71">
        <f t="shared" si="47"/>
        <v>0</v>
      </c>
      <c r="EU11" s="71">
        <f t="shared" si="48"/>
        <v>0</v>
      </c>
      <c r="EV11" s="71">
        <f t="shared" si="49"/>
        <v>0</v>
      </c>
      <c r="EW11" s="71">
        <f t="shared" si="50"/>
        <v>0</v>
      </c>
      <c r="EX11" s="71">
        <f t="shared" si="51"/>
        <v>0</v>
      </c>
      <c r="EY11" s="71">
        <f t="shared" si="52"/>
        <v>0</v>
      </c>
      <c r="EZ11" s="71">
        <f t="shared" si="53"/>
        <v>0</v>
      </c>
      <c r="FA11" s="71">
        <f t="shared" si="54"/>
        <v>0</v>
      </c>
      <c r="FB11" s="71">
        <f t="shared" si="55"/>
        <v>0</v>
      </c>
      <c r="FC11" s="71">
        <f t="shared" si="56"/>
        <v>0</v>
      </c>
      <c r="FD11" s="71">
        <f t="shared" si="57"/>
        <v>0</v>
      </c>
      <c r="FE11" s="71">
        <f t="shared" si="58"/>
        <v>0</v>
      </c>
      <c r="FF11" s="71">
        <f t="shared" si="59"/>
        <v>0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$FM$11:$FT$11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GO11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0</v>
      </c>
      <c r="GL11" s="71">
        <f>GetDiscardScore($ER11:EV11,GL$1)</f>
        <v>0</v>
      </c>
      <c r="GM11" s="71">
        <f>GetDiscardScore($ER11:EW11,GM$1)</f>
        <v>0</v>
      </c>
      <c r="GN11" s="71">
        <f>GetDiscardScore($ER11:EX11,GN$1)</f>
        <v>0</v>
      </c>
      <c r="GO11" s="71">
        <f>GetDiscardScore($ER11:EY11,GO$1)</f>
        <v>0</v>
      </c>
      <c r="GP11" s="71">
        <f>GetDiscardScore($ER11:EZ11,GP$1)</f>
        <v>0</v>
      </c>
      <c r="GQ11" s="71">
        <f>GetDiscardScore($ER11:FA11,GQ$1)</f>
        <v>0</v>
      </c>
      <c r="GR11" s="71">
        <f>GetDiscardScore($ER11:FB11,GR$1)</f>
        <v>0</v>
      </c>
      <c r="GS11" s="71">
        <f>GetDiscardScore($ER11:FC11,GS$1)</f>
        <v>0</v>
      </c>
      <c r="GT11" s="71">
        <f>GetDiscardScore($ER11:FD11,GT$1)</f>
        <v>0</v>
      </c>
      <c r="GU11" s="71">
        <f>GetDiscardScore($ER11:FE11,GU$1)</f>
        <v>0</v>
      </c>
      <c r="GV11" s="71">
        <f>GetDiscardScore($ER11:FF11,GV$1)</f>
        <v>0</v>
      </c>
      <c r="GW11" s="71">
        <f>GetDiscardScore($ER11:FG11,GW$1)</f>
        <v>0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</c>
      <c r="HC11" s="72">
        <f ca="1">IF(HB11&lt;&gt;"",RANK(HB11,HB$5:INDIRECT(HC$1,TRUE),0),"")</f>
      </c>
      <c r="HD11" s="70">
        <f ca="1" t="shared" si="88"/>
      </c>
    </row>
    <row r="12" spans="1:212" s="51" customFormat="1" ht="9.75">
      <c r="A12" s="41">
        <v>8</v>
      </c>
      <c r="B12" s="41">
        <f>IF('Raw Data'!B10&lt;&gt;"",'Raw Data'!B10,"")</f>
      </c>
      <c r="C12" s="51">
        <f>IF('Raw Data'!C10&lt;&gt;"",'Raw Data'!C10,"")</f>
      </c>
      <c r="D12" s="42">
        <f t="shared" si="22"/>
      </c>
      <c r="E12" s="69">
        <f t="shared" si="23"/>
      </c>
      <c r="F12" s="99">
        <f t="shared" si="0"/>
      </c>
      <c r="G12" s="111">
        <f>IF(AND('Raw Data'!D10&lt;&gt;"",'Raw Data'!D10&lt;&gt;0),ROUNDDOWN('Raw Data'!D10,Title!$M$1),"")</f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</c>
      <c r="J12" s="51">
        <f ca="1">IF(K12&lt;&gt;0,RANK(K12,K$5:INDIRECT(J$1,TRUE)),"")</f>
      </c>
      <c r="K12" s="71">
        <f t="shared" si="1"/>
        <v>0</v>
      </c>
      <c r="L12" s="71">
        <f t="shared" si="2"/>
      </c>
      <c r="M12" s="104">
        <f ca="1">IF(L12&lt;&gt;"",RANK(L12,L$5:INDIRECT(M$1,TRUE)),"")</f>
      </c>
      <c r="N12" s="111">
        <f>IF(AND('Raw Data'!F10&lt;&gt;"",'Raw Data'!F10&lt;&gt;0),ROUNDDOWN('Raw Data'!F10,Title!$M$1),"")</f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</c>
      <c r="Q12" s="51">
        <f ca="1">IF(OR(N12&lt;&gt;"",O12&lt;&gt;""),RANK(R12,R$5:INDIRECT(Q$1,TRUE)),"")</f>
      </c>
      <c r="R12" s="71">
        <f t="shared" si="24"/>
      </c>
      <c r="S12" s="71">
        <f t="shared" si="3"/>
      </c>
      <c r="T12" s="104">
        <f ca="1">IF(S12&lt;&gt;"",RANK(S12,S$5:INDIRECT(T$1,TRUE)),"")</f>
      </c>
      <c r="U12" s="111">
        <f>IF(AND('Raw Data'!H10&lt;&gt;"",'Raw Data'!H10&lt;&gt;0),ROUNDDOWN('Raw Data'!H10,Title!$M$1),"")</f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</c>
      <c r="X12" s="51">
        <f ca="1">IF(OR(U12&lt;&gt;"",V12&lt;&gt;""),RANK(Y12,Y$5:INDIRECT(X$1,TRUE)),"")</f>
      </c>
      <c r="Y12" s="71">
        <f t="shared" si="25"/>
      </c>
      <c r="Z12" s="71">
        <f t="shared" si="4"/>
      </c>
      <c r="AA12" s="104">
        <f ca="1">IF(Z12&lt;&gt;"",RANK(Z12,Z$5:INDIRECT(AA$1,TRUE)),"")</f>
      </c>
      <c r="AB12" s="111">
        <f>IF(AND('Raw Data'!J10&lt;&gt;"",'Raw Data'!J10&lt;&gt;0),ROUNDDOWN('Raw Data'!J10,Title!$M$1),"")</f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</c>
      <c r="AE12" s="51">
        <f ca="1">IF(OR(AB12&lt;&gt;"",AC12&lt;&gt;""),RANK(AF12,AF$5:INDIRECT(AE$1,TRUE)),"")</f>
      </c>
      <c r="AF12" s="71">
        <f t="shared" si="26"/>
      </c>
      <c r="AG12" s="71">
        <f t="shared" si="5"/>
      </c>
      <c r="AH12" s="104">
        <f ca="1">IF(AG12&lt;&gt;"",RANK(AG12,AG$5:INDIRECT(AH$1,TRUE)),"")</f>
      </c>
      <c r="AI12" s="111">
        <f>IF(AND('Raw Data'!L10&lt;&gt;"",'Raw Data'!L10&lt;&gt;0),ROUNDDOWN('Raw Data'!L10,Title!$M$1),"")</f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</c>
      <c r="AL12" s="51">
        <f ca="1">IF(OR(AI12&lt;&gt;"",AJ12&lt;&gt;""),RANK(AM12,AM$5:INDIRECT(AL$1,TRUE)),"")</f>
      </c>
      <c r="AM12" s="71">
        <f t="shared" si="27"/>
      </c>
      <c r="AN12" s="71">
        <f t="shared" si="6"/>
      </c>
      <c r="AO12" s="104">
        <f ca="1">IF(AN12&lt;&gt;"",RANK(AN12,AN$5:INDIRECT(AO$1,TRUE)),"")</f>
      </c>
      <c r="AP12" s="111">
        <f>IF(AND('Raw Data'!N10&lt;&gt;"",'Raw Data'!N10&lt;&gt;0),ROUNDDOWN('Raw Data'!N10,Title!$M$1),"")</f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</c>
      <c r="AS12" s="51">
        <f ca="1">IF(OR(AP12&lt;&gt;"",AQ12&lt;&gt;""),RANK(AT12,AT$5:INDIRECT(AS$1,TRUE)),"")</f>
      </c>
      <c r="AT12" s="71">
        <f t="shared" si="28"/>
      </c>
      <c r="AU12" s="71">
        <f t="shared" si="7"/>
      </c>
      <c r="AV12" s="104">
        <f ca="1">IF(AU12&lt;&gt;"",RANK(AU12,AU$5:INDIRECT(AV$1,TRUE)),"")</f>
      </c>
      <c r="AW12" s="111">
        <f>IF(AND('Raw Data'!P10&lt;&gt;"",'Raw Data'!P10&lt;&gt;0),ROUNDDOWN('Raw Data'!P10,Title!$M$1),"")</f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</c>
      <c r="AZ12" s="51">
        <f ca="1">IF(OR(AW12&lt;&gt;"",AX12&lt;&gt;""),RANK(BA12,BA$5:INDIRECT(AZ$1,TRUE)),"")</f>
      </c>
      <c r="BA12" s="71">
        <f t="shared" si="29"/>
      </c>
      <c r="BB12" s="71">
        <f t="shared" si="8"/>
      </c>
      <c r="BC12" s="104">
        <f ca="1">IF(BB12&lt;&gt;"",RANK(BB12,BB$5:INDIRECT(BC$1,TRUE)),"")</f>
      </c>
      <c r="BD12" s="111">
        <f>IF(AND('Raw Data'!R10&lt;&gt;"",'Raw Data'!R10&lt;&gt;0),ROUNDDOWN('Raw Data'!R10,Title!$M$1),"")</f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</c>
      <c r="BG12" s="51">
        <f ca="1">IF(OR(BD12&lt;&gt;"",BE12&lt;&gt;""),RANK(BH12,BH$5:INDIRECT(BG$1,TRUE)),"")</f>
      </c>
      <c r="BH12" s="71">
        <f t="shared" si="30"/>
      </c>
      <c r="BI12" s="71">
        <f t="shared" si="9"/>
      </c>
      <c r="BJ12" s="104">
        <f ca="1">IF(BI12&lt;&gt;"",RANK(BI12,BI$5:INDIRECT(BJ$1,TRUE)),"")</f>
      </c>
      <c r="BK12" s="111">
        <f>IF(AND('Raw Data'!T10&lt;&gt;"",'Raw Data'!T10&lt;&gt;0),ROUNDDOWN('Raw Data'!T10,Title!$M$1),"")</f>
      </c>
      <c r="BL12" s="109">
        <f>IF(AND('Raw Data'!U10&lt;&gt;"",'Raw Data'!U10&lt;&gt;0),'Raw Data'!U10,"")</f>
      </c>
      <c r="BM12" s="97">
        <f t="shared" si="31"/>
      </c>
      <c r="BN12" s="51">
        <f ca="1">IF(OR(BK12&lt;&gt;"",BL12&lt;&gt;""),RANK(BO12,BO$5:INDIRECT(BN$1,TRUE)),"")</f>
      </c>
      <c r="BO12" s="71">
        <f t="shared" si="32"/>
      </c>
      <c r="BP12" s="71">
        <f t="shared" si="10"/>
      </c>
      <c r="BQ12" s="104">
        <f ca="1">IF(BP12&lt;&gt;"",RANK(BP12,BP$5:INDIRECT(BQ$1,TRUE)),"")</f>
      </c>
      <c r="BR12" s="111">
        <f>IF(AND('Raw Data'!V10&lt;&gt;"",'Raw Data'!V10&lt;&gt;0),ROUNDDOWN('Raw Data'!V10,Title!$M$1),"")</f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</c>
      <c r="BU12" s="51">
        <f ca="1">IF(OR(BR12&lt;&gt;"",BS12&lt;&gt;""),RANK(BV12,BV$5:INDIRECT(BU$1,TRUE)),"")</f>
      </c>
      <c r="BV12" s="71">
        <f t="shared" si="33"/>
      </c>
      <c r="BW12" s="71">
        <f t="shared" si="11"/>
      </c>
      <c r="BX12" s="104">
        <f ca="1">IF(BW12&lt;&gt;"",RANK(BW12,BW$5:INDIRECT(BX$1,TRUE)),"")</f>
      </c>
      <c r="BY12" s="111">
        <f>IF(AND('Raw Data'!X10&lt;&gt;"",'Raw Data'!X10&lt;&gt;0),ROUNDDOWN('Raw Data'!X10,Title!$M$1),"")</f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</c>
      <c r="CB12" s="51">
        <f ca="1">IF(OR(BY12&lt;&gt;"",BZ12&lt;&gt;""),RANK(CC12,CC$5:INDIRECT(CB$1,TRUE)),"")</f>
      </c>
      <c r="CC12" s="71">
        <f t="shared" si="34"/>
      </c>
      <c r="CD12" s="71">
        <f t="shared" si="12"/>
      </c>
      <c r="CE12" s="104">
        <f ca="1">IF(CD12&lt;&gt;"",RANK(CD12,CD$5:INDIRECT(CE$1,TRUE)),"")</f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35"/>
      </c>
      <c r="CK12" s="71">
        <f t="shared" si="13"/>
      </c>
      <c r="CL12" s="104">
        <f ca="1">IF(CK12&lt;&gt;"",RANK(CK12,CK$5:INDIRECT(CL$1,TRUE)),"")</f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36"/>
      </c>
      <c r="CR12" s="71">
        <f t="shared" si="14"/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37"/>
      </c>
      <c r="CY12" s="71">
        <f t="shared" si="15"/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38"/>
      </c>
      <c r="DF12" s="71">
        <f t="shared" si="16"/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$ER$12:$EY$12</v>
      </c>
      <c r="ER12" s="71">
        <f t="shared" si="45"/>
        <v>0</v>
      </c>
      <c r="ES12" s="71">
        <f t="shared" si="46"/>
        <v>0</v>
      </c>
      <c r="ET12" s="71">
        <f t="shared" si="47"/>
        <v>0</v>
      </c>
      <c r="EU12" s="71">
        <f t="shared" si="48"/>
        <v>0</v>
      </c>
      <c r="EV12" s="71">
        <f t="shared" si="49"/>
        <v>0</v>
      </c>
      <c r="EW12" s="71">
        <f t="shared" si="50"/>
        <v>0</v>
      </c>
      <c r="EX12" s="71">
        <f t="shared" si="51"/>
        <v>0</v>
      </c>
      <c r="EY12" s="71">
        <f t="shared" si="52"/>
        <v>0</v>
      </c>
      <c r="EZ12" s="71">
        <f t="shared" si="53"/>
        <v>0</v>
      </c>
      <c r="FA12" s="71">
        <f t="shared" si="54"/>
        <v>0</v>
      </c>
      <c r="FB12" s="71">
        <f t="shared" si="55"/>
        <v>0</v>
      </c>
      <c r="FC12" s="71">
        <f t="shared" si="56"/>
        <v>0</v>
      </c>
      <c r="FD12" s="71">
        <f t="shared" si="57"/>
        <v>0</v>
      </c>
      <c r="FE12" s="71">
        <f t="shared" si="58"/>
        <v>0</v>
      </c>
      <c r="FF12" s="71">
        <f t="shared" si="59"/>
        <v>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$FM$12:$FT$12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GO12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0</v>
      </c>
      <c r="GL12" s="71">
        <f>GetDiscardScore($ER12:EV12,GL$1)</f>
        <v>0</v>
      </c>
      <c r="GM12" s="71">
        <f>GetDiscardScore($ER12:EW12,GM$1)</f>
        <v>0</v>
      </c>
      <c r="GN12" s="71">
        <f>GetDiscardScore($ER12:EX12,GN$1)</f>
        <v>0</v>
      </c>
      <c r="GO12" s="71">
        <f>GetDiscardScore($ER12:EY12,GO$1)</f>
        <v>0</v>
      </c>
      <c r="GP12" s="71">
        <f>GetDiscardScore($ER12:EZ12,GP$1)</f>
        <v>0</v>
      </c>
      <c r="GQ12" s="71">
        <f>GetDiscardScore($ER12:FA12,GQ$1)</f>
        <v>0</v>
      </c>
      <c r="GR12" s="71">
        <f>GetDiscardScore($ER12:FB12,GR$1)</f>
        <v>0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</c>
      <c r="HC12" s="72">
        <f ca="1">IF(HB12&lt;&gt;"",RANK(HB12,HB$5:INDIRECT(HC$1,TRUE),0),"")</f>
      </c>
      <c r="HD12" s="70">
        <f ca="1" t="shared" si="88"/>
      </c>
    </row>
    <row r="13" spans="1:212" s="51" customFormat="1" ht="9.7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2"/>
      </c>
      <c r="E13" s="69">
        <f t="shared" si="2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 t="shared" si="2"/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24"/>
      </c>
      <c r="S13" s="71">
        <f t="shared" si="3"/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25"/>
      </c>
      <c r="Z13" s="71">
        <f t="shared" si="4"/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26"/>
      </c>
      <c r="AG13" s="71">
        <f t="shared" si="5"/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27"/>
      </c>
      <c r="AN13" s="71">
        <f t="shared" si="6"/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28"/>
      </c>
      <c r="AU13" s="71">
        <f t="shared" si="7"/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29"/>
      </c>
      <c r="BB13" s="71">
        <f t="shared" si="8"/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30"/>
      </c>
      <c r="BI13" s="71">
        <f t="shared" si="9"/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$ER$13:$EY$13</v>
      </c>
      <c r="ER13" s="71">
        <f t="shared" si="45"/>
        <v>0</v>
      </c>
      <c r="ES13" s="71">
        <f t="shared" si="46"/>
        <v>0</v>
      </c>
      <c r="ET13" s="71">
        <f t="shared" si="47"/>
        <v>0</v>
      </c>
      <c r="EU13" s="71">
        <f t="shared" si="48"/>
        <v>0</v>
      </c>
      <c r="EV13" s="71">
        <f t="shared" si="49"/>
        <v>0</v>
      </c>
      <c r="EW13" s="71">
        <f t="shared" si="50"/>
        <v>0</v>
      </c>
      <c r="EX13" s="71">
        <f t="shared" si="51"/>
        <v>0</v>
      </c>
      <c r="EY13" s="71">
        <f t="shared" si="52"/>
        <v>0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$FM$13:$FT$13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GO13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</c>
      <c r="HC13" s="72">
        <f ca="1">IF(HB13&lt;&gt;"",RANK(HB13,HB$5:INDIRECT(HC$1,TRUE),0),"")</f>
      </c>
      <c r="HD13" s="70">
        <f ca="1" t="shared" si="88"/>
      </c>
    </row>
    <row r="14" spans="1:212" s="74" customFormat="1" ht="9.7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$ER$14:$EY$14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$FM$14:$FT$14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GO14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9.75">
      <c r="A15" s="39">
        <v>11</v>
      </c>
      <c r="B15" s="39"/>
      <c r="D15" s="40"/>
      <c r="E15" s="75"/>
      <c r="F15" s="100"/>
      <c r="G15" s="114"/>
      <c r="H15" s="110"/>
      <c r="I15" s="98"/>
      <c r="K15" s="77"/>
      <c r="L15" s="77"/>
      <c r="M15" s="105"/>
      <c r="N15" s="114"/>
      <c r="O15" s="110"/>
      <c r="P15" s="98"/>
      <c r="R15" s="77"/>
      <c r="S15" s="77"/>
      <c r="T15" s="105"/>
      <c r="U15" s="114"/>
      <c r="V15" s="110"/>
      <c r="W15" s="98"/>
      <c r="Y15" s="77"/>
      <c r="Z15" s="77"/>
      <c r="AA15" s="105"/>
      <c r="AB15" s="114"/>
      <c r="AC15" s="110"/>
      <c r="AD15" s="98"/>
      <c r="AF15" s="77"/>
      <c r="AG15" s="77"/>
      <c r="AH15" s="105"/>
      <c r="AI15" s="114"/>
      <c r="AJ15" s="110"/>
      <c r="AK15" s="98"/>
      <c r="AM15" s="77"/>
      <c r="AN15" s="77"/>
      <c r="AO15" s="105"/>
      <c r="AP15" s="114"/>
      <c r="AQ15" s="110"/>
      <c r="AR15" s="98"/>
      <c r="AT15" s="77"/>
      <c r="AU15" s="77"/>
      <c r="AV15" s="105"/>
      <c r="AW15" s="114"/>
      <c r="AX15" s="110"/>
      <c r="AY15" s="98"/>
      <c r="BA15" s="77"/>
      <c r="BB15" s="77"/>
      <c r="BC15" s="105"/>
      <c r="BD15" s="114"/>
      <c r="BE15" s="110"/>
      <c r="BF15" s="98"/>
      <c r="BH15" s="77"/>
      <c r="BI15" s="77"/>
      <c r="BJ15" s="105"/>
      <c r="BK15" s="114"/>
      <c r="BL15" s="110"/>
      <c r="BM15" s="98"/>
      <c r="BO15" s="77"/>
      <c r="BP15" s="77"/>
      <c r="BQ15" s="105"/>
      <c r="BR15" s="114"/>
      <c r="BS15" s="110"/>
      <c r="BT15" s="98"/>
      <c r="BV15" s="77"/>
      <c r="BW15" s="77"/>
      <c r="BX15" s="105"/>
      <c r="BY15" s="114"/>
      <c r="BZ15" s="110"/>
      <c r="CA15" s="98"/>
      <c r="CC15" s="77"/>
      <c r="CD15" s="77"/>
      <c r="CE15" s="105"/>
      <c r="CF15" s="114"/>
      <c r="CG15" s="110"/>
      <c r="CH15" s="98"/>
      <c r="CJ15" s="77"/>
      <c r="CK15" s="77"/>
      <c r="CL15" s="105"/>
      <c r="CM15" s="114"/>
      <c r="CN15" s="110"/>
      <c r="CO15" s="98"/>
      <c r="CQ15" s="77"/>
      <c r="CR15" s="77"/>
      <c r="CS15" s="105"/>
      <c r="CT15" s="114"/>
      <c r="CU15" s="110"/>
      <c r="CV15" s="98"/>
      <c r="CX15" s="77"/>
      <c r="CY15" s="77"/>
      <c r="CZ15" s="105"/>
      <c r="DA15" s="114"/>
      <c r="DB15" s="110"/>
      <c r="DC15" s="98"/>
      <c r="DE15" s="77"/>
      <c r="DF15" s="77"/>
      <c r="DG15" s="105"/>
      <c r="DH15" s="114"/>
      <c r="DI15" s="110"/>
      <c r="DJ15" s="98"/>
      <c r="DL15" s="77"/>
      <c r="DM15" s="77"/>
      <c r="DN15" s="105"/>
      <c r="DO15" s="114"/>
      <c r="DP15" s="110"/>
      <c r="DQ15" s="98"/>
      <c r="DS15" s="77"/>
      <c r="DT15" s="77"/>
      <c r="DU15" s="105"/>
      <c r="DV15" s="114"/>
      <c r="DW15" s="110"/>
      <c r="DX15" s="98"/>
      <c r="DZ15" s="77"/>
      <c r="EA15" s="77"/>
      <c r="EB15" s="105"/>
      <c r="EC15" s="114"/>
      <c r="ED15" s="110"/>
      <c r="EE15" s="98"/>
      <c r="EG15" s="77"/>
      <c r="EH15" s="77"/>
      <c r="EI15" s="105"/>
      <c r="EJ15" s="114"/>
      <c r="EK15" s="107"/>
      <c r="EL15" s="98"/>
      <c r="EN15" s="77"/>
      <c r="EO15" s="77"/>
      <c r="EP15" s="105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M15" s="78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9"/>
      <c r="HC15" s="78"/>
      <c r="HD15" s="76"/>
    </row>
    <row r="16" spans="1:212" s="74" customFormat="1" ht="9.75">
      <c r="A16" s="39">
        <v>12</v>
      </c>
      <c r="B16" s="39"/>
      <c r="D16" s="40"/>
      <c r="E16" s="75"/>
      <c r="F16" s="100"/>
      <c r="G16" s="114"/>
      <c r="H16" s="110"/>
      <c r="I16" s="98"/>
      <c r="K16" s="77"/>
      <c r="L16" s="77"/>
      <c r="M16" s="105"/>
      <c r="N16" s="114"/>
      <c r="O16" s="110"/>
      <c r="P16" s="98"/>
      <c r="R16" s="77"/>
      <c r="S16" s="77"/>
      <c r="T16" s="105"/>
      <c r="U16" s="114"/>
      <c r="V16" s="110"/>
      <c r="W16" s="98"/>
      <c r="Y16" s="77"/>
      <c r="Z16" s="77"/>
      <c r="AA16" s="105"/>
      <c r="AB16" s="114"/>
      <c r="AC16" s="110"/>
      <c r="AD16" s="98"/>
      <c r="AF16" s="77"/>
      <c r="AG16" s="77"/>
      <c r="AH16" s="105"/>
      <c r="AI16" s="114"/>
      <c r="AJ16" s="110"/>
      <c r="AK16" s="98"/>
      <c r="AM16" s="77"/>
      <c r="AN16" s="77"/>
      <c r="AO16" s="105"/>
      <c r="AP16" s="114"/>
      <c r="AQ16" s="110"/>
      <c r="AR16" s="98"/>
      <c r="AT16" s="77"/>
      <c r="AU16" s="77"/>
      <c r="AV16" s="105"/>
      <c r="AW16" s="114"/>
      <c r="AX16" s="110"/>
      <c r="AY16" s="98"/>
      <c r="BA16" s="77"/>
      <c r="BB16" s="77"/>
      <c r="BC16" s="105"/>
      <c r="BD16" s="114"/>
      <c r="BE16" s="110"/>
      <c r="BF16" s="98"/>
      <c r="BH16" s="77"/>
      <c r="BI16" s="77"/>
      <c r="BJ16" s="105"/>
      <c r="BK16" s="114"/>
      <c r="BL16" s="110"/>
      <c r="BM16" s="98"/>
      <c r="BO16" s="77"/>
      <c r="BP16" s="77"/>
      <c r="BQ16" s="105"/>
      <c r="BR16" s="114"/>
      <c r="BS16" s="110"/>
      <c r="BT16" s="98"/>
      <c r="BV16" s="77"/>
      <c r="BW16" s="77"/>
      <c r="BX16" s="105"/>
      <c r="BY16" s="114"/>
      <c r="BZ16" s="110"/>
      <c r="CA16" s="98"/>
      <c r="CC16" s="77"/>
      <c r="CD16" s="77"/>
      <c r="CE16" s="105"/>
      <c r="CF16" s="114"/>
      <c r="CG16" s="110"/>
      <c r="CH16" s="98"/>
      <c r="CJ16" s="77"/>
      <c r="CK16" s="77"/>
      <c r="CL16" s="105"/>
      <c r="CM16" s="114"/>
      <c r="CN16" s="110"/>
      <c r="CO16" s="98"/>
      <c r="CQ16" s="77"/>
      <c r="CR16" s="77"/>
      <c r="CS16" s="105"/>
      <c r="CT16" s="114"/>
      <c r="CU16" s="110"/>
      <c r="CV16" s="98"/>
      <c r="CX16" s="77"/>
      <c r="CY16" s="77"/>
      <c r="CZ16" s="105"/>
      <c r="DA16" s="114"/>
      <c r="DB16" s="110"/>
      <c r="DC16" s="98"/>
      <c r="DE16" s="77"/>
      <c r="DF16" s="77"/>
      <c r="DG16" s="105"/>
      <c r="DH16" s="114"/>
      <c r="DI16" s="110"/>
      <c r="DJ16" s="98"/>
      <c r="DL16" s="77"/>
      <c r="DM16" s="77"/>
      <c r="DN16" s="105"/>
      <c r="DO16" s="114"/>
      <c r="DP16" s="110"/>
      <c r="DQ16" s="98"/>
      <c r="DS16" s="77"/>
      <c r="DT16" s="77"/>
      <c r="DU16" s="105"/>
      <c r="DV16" s="114"/>
      <c r="DW16" s="110"/>
      <c r="DX16" s="98"/>
      <c r="DZ16" s="77"/>
      <c r="EA16" s="77"/>
      <c r="EB16" s="105"/>
      <c r="EC16" s="114"/>
      <c r="ED16" s="110"/>
      <c r="EE16" s="98"/>
      <c r="EG16" s="77"/>
      <c r="EH16" s="77"/>
      <c r="EI16" s="105"/>
      <c r="EJ16" s="114"/>
      <c r="EK16" s="107"/>
      <c r="EL16" s="98"/>
      <c r="EN16" s="77"/>
      <c r="EO16" s="77"/>
      <c r="EP16" s="105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M16" s="78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9"/>
      <c r="HC16" s="78"/>
      <c r="HD16" s="76"/>
    </row>
    <row r="17" spans="1:212" s="51" customFormat="1" ht="9.75">
      <c r="A17" s="41">
        <v>13</v>
      </c>
      <c r="B17" s="41"/>
      <c r="D17" s="42"/>
      <c r="E17" s="69"/>
      <c r="F17" s="99"/>
      <c r="G17" s="111"/>
      <c r="H17" s="109"/>
      <c r="I17" s="97"/>
      <c r="K17" s="71"/>
      <c r="L17" s="71"/>
      <c r="M17" s="104"/>
      <c r="N17" s="111"/>
      <c r="O17" s="109"/>
      <c r="P17" s="97"/>
      <c r="R17" s="71"/>
      <c r="S17" s="71"/>
      <c r="T17" s="104"/>
      <c r="U17" s="111"/>
      <c r="V17" s="109"/>
      <c r="W17" s="97"/>
      <c r="Y17" s="71"/>
      <c r="Z17" s="71"/>
      <c r="AA17" s="104"/>
      <c r="AB17" s="111"/>
      <c r="AC17" s="109"/>
      <c r="AD17" s="97"/>
      <c r="AF17" s="71"/>
      <c r="AG17" s="71"/>
      <c r="AH17" s="104"/>
      <c r="AI17" s="111"/>
      <c r="AJ17" s="109"/>
      <c r="AK17" s="97"/>
      <c r="AM17" s="71"/>
      <c r="AN17" s="71"/>
      <c r="AO17" s="104"/>
      <c r="AP17" s="111"/>
      <c r="AQ17" s="109"/>
      <c r="AR17" s="97"/>
      <c r="AT17" s="71"/>
      <c r="AU17" s="71"/>
      <c r="AV17" s="104"/>
      <c r="AW17" s="111"/>
      <c r="AX17" s="109"/>
      <c r="AY17" s="97"/>
      <c r="BA17" s="71"/>
      <c r="BB17" s="71"/>
      <c r="BC17" s="104"/>
      <c r="BD17" s="111"/>
      <c r="BE17" s="109"/>
      <c r="BF17" s="97"/>
      <c r="BH17" s="71"/>
      <c r="BI17" s="71"/>
      <c r="BJ17" s="104"/>
      <c r="BK17" s="111"/>
      <c r="BL17" s="109"/>
      <c r="BM17" s="97"/>
      <c r="BO17" s="71"/>
      <c r="BP17" s="71"/>
      <c r="BQ17" s="104"/>
      <c r="BR17" s="111"/>
      <c r="BS17" s="109"/>
      <c r="BT17" s="97"/>
      <c r="BV17" s="71"/>
      <c r="BW17" s="71"/>
      <c r="BX17" s="104"/>
      <c r="BY17" s="111"/>
      <c r="BZ17" s="109"/>
      <c r="CA17" s="97"/>
      <c r="CC17" s="71"/>
      <c r="CD17" s="71"/>
      <c r="CE17" s="104"/>
      <c r="CF17" s="111"/>
      <c r="CG17" s="109"/>
      <c r="CH17" s="97"/>
      <c r="CJ17" s="71"/>
      <c r="CK17" s="71"/>
      <c r="CL17" s="104"/>
      <c r="CM17" s="111"/>
      <c r="CN17" s="109"/>
      <c r="CO17" s="97"/>
      <c r="CQ17" s="71"/>
      <c r="CR17" s="71"/>
      <c r="CS17" s="104"/>
      <c r="CT17" s="111"/>
      <c r="CU17" s="109"/>
      <c r="CV17" s="97"/>
      <c r="CX17" s="71"/>
      <c r="CY17" s="71"/>
      <c r="CZ17" s="104"/>
      <c r="DA17" s="111"/>
      <c r="DB17" s="109"/>
      <c r="DC17" s="97"/>
      <c r="DE17" s="71"/>
      <c r="DF17" s="71"/>
      <c r="DG17" s="104"/>
      <c r="DH17" s="111"/>
      <c r="DI17" s="109"/>
      <c r="DJ17" s="97"/>
      <c r="DL17" s="71"/>
      <c r="DM17" s="71"/>
      <c r="DN17" s="104"/>
      <c r="DO17" s="111"/>
      <c r="DP17" s="109"/>
      <c r="DQ17" s="97"/>
      <c r="DS17" s="71"/>
      <c r="DT17" s="71"/>
      <c r="DU17" s="104"/>
      <c r="DV17" s="111"/>
      <c r="DW17" s="109"/>
      <c r="DX17" s="97"/>
      <c r="DZ17" s="71"/>
      <c r="EA17" s="71"/>
      <c r="EB17" s="104"/>
      <c r="EC17" s="111"/>
      <c r="ED17" s="109"/>
      <c r="EE17" s="97"/>
      <c r="EG17" s="71"/>
      <c r="EH17" s="71"/>
      <c r="EI17" s="104"/>
      <c r="EJ17" s="111"/>
      <c r="EK17" s="106"/>
      <c r="EL17" s="97"/>
      <c r="EN17" s="71"/>
      <c r="EO17" s="71"/>
      <c r="EP17" s="104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M17" s="72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3"/>
      <c r="HC17" s="72"/>
      <c r="HD17" s="70"/>
    </row>
    <row r="18" spans="1:212" s="51" customFormat="1" ht="9.75">
      <c r="A18" s="41">
        <v>14</v>
      </c>
      <c r="B18" s="41"/>
      <c r="D18" s="42"/>
      <c r="E18" s="69"/>
      <c r="F18" s="99"/>
      <c r="G18" s="111"/>
      <c r="H18" s="109"/>
      <c r="I18" s="97"/>
      <c r="K18" s="71"/>
      <c r="L18" s="71"/>
      <c r="M18" s="104"/>
      <c r="N18" s="111"/>
      <c r="O18" s="109"/>
      <c r="P18" s="97"/>
      <c r="R18" s="71"/>
      <c r="S18" s="71"/>
      <c r="T18" s="104"/>
      <c r="U18" s="111"/>
      <c r="V18" s="109"/>
      <c r="W18" s="97"/>
      <c r="Y18" s="71"/>
      <c r="Z18" s="71"/>
      <c r="AA18" s="104"/>
      <c r="AB18" s="111"/>
      <c r="AC18" s="109"/>
      <c r="AD18" s="97"/>
      <c r="AF18" s="71"/>
      <c r="AG18" s="71"/>
      <c r="AH18" s="104"/>
      <c r="AI18" s="111"/>
      <c r="AJ18" s="109"/>
      <c r="AK18" s="97"/>
      <c r="AM18" s="71"/>
      <c r="AN18" s="71"/>
      <c r="AO18" s="104"/>
      <c r="AP18" s="111"/>
      <c r="AQ18" s="109"/>
      <c r="AR18" s="97"/>
      <c r="AT18" s="71"/>
      <c r="AU18" s="71"/>
      <c r="AV18" s="104"/>
      <c r="AW18" s="111"/>
      <c r="AX18" s="109"/>
      <c r="AY18" s="97"/>
      <c r="BA18" s="71"/>
      <c r="BB18" s="71"/>
      <c r="BC18" s="104"/>
      <c r="BD18" s="111"/>
      <c r="BE18" s="109"/>
      <c r="BF18" s="97"/>
      <c r="BH18" s="71"/>
      <c r="BI18" s="71"/>
      <c r="BJ18" s="104"/>
      <c r="BK18" s="111"/>
      <c r="BL18" s="109"/>
      <c r="BM18" s="97"/>
      <c r="BO18" s="71"/>
      <c r="BP18" s="71"/>
      <c r="BQ18" s="104"/>
      <c r="BR18" s="111"/>
      <c r="BS18" s="109"/>
      <c r="BT18" s="97"/>
      <c r="BV18" s="71"/>
      <c r="BW18" s="71"/>
      <c r="BX18" s="104"/>
      <c r="BY18" s="111"/>
      <c r="BZ18" s="109"/>
      <c r="CA18" s="97"/>
      <c r="CC18" s="71"/>
      <c r="CD18" s="71"/>
      <c r="CE18" s="104"/>
      <c r="CF18" s="111"/>
      <c r="CG18" s="109"/>
      <c r="CH18" s="97"/>
      <c r="CJ18" s="71"/>
      <c r="CK18" s="71"/>
      <c r="CL18" s="104"/>
      <c r="CM18" s="111"/>
      <c r="CN18" s="109"/>
      <c r="CO18" s="97"/>
      <c r="CQ18" s="71"/>
      <c r="CR18" s="71"/>
      <c r="CS18" s="104"/>
      <c r="CT18" s="111"/>
      <c r="CU18" s="109"/>
      <c r="CV18" s="97"/>
      <c r="CX18" s="71"/>
      <c r="CY18" s="71"/>
      <c r="CZ18" s="104"/>
      <c r="DA18" s="111"/>
      <c r="DB18" s="109"/>
      <c r="DC18" s="97"/>
      <c r="DE18" s="71"/>
      <c r="DF18" s="71"/>
      <c r="DG18" s="104"/>
      <c r="DH18" s="111"/>
      <c r="DI18" s="109"/>
      <c r="DJ18" s="97"/>
      <c r="DL18" s="71"/>
      <c r="DM18" s="71"/>
      <c r="DN18" s="104"/>
      <c r="DO18" s="111"/>
      <c r="DP18" s="109"/>
      <c r="DQ18" s="97"/>
      <c r="DS18" s="71"/>
      <c r="DT18" s="71"/>
      <c r="DU18" s="104"/>
      <c r="DV18" s="111"/>
      <c r="DW18" s="109"/>
      <c r="DX18" s="97"/>
      <c r="DZ18" s="71"/>
      <c r="EA18" s="71"/>
      <c r="EB18" s="104"/>
      <c r="EC18" s="111"/>
      <c r="ED18" s="109"/>
      <c r="EE18" s="97"/>
      <c r="EG18" s="71"/>
      <c r="EH18" s="71"/>
      <c r="EI18" s="104"/>
      <c r="EJ18" s="111"/>
      <c r="EK18" s="106"/>
      <c r="EL18" s="97"/>
      <c r="EN18" s="71"/>
      <c r="EO18" s="71"/>
      <c r="EP18" s="104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M18" s="72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3"/>
      <c r="HC18" s="72"/>
      <c r="HD18" s="70"/>
    </row>
    <row r="19" spans="1:212" s="51" customFormat="1" ht="9.75">
      <c r="A19" s="41">
        <v>15</v>
      </c>
      <c r="B19" s="41"/>
      <c r="D19" s="42"/>
      <c r="E19" s="69"/>
      <c r="F19" s="99"/>
      <c r="G19" s="111"/>
      <c r="H19" s="109"/>
      <c r="I19" s="97"/>
      <c r="K19" s="71"/>
      <c r="L19" s="71"/>
      <c r="M19" s="104"/>
      <c r="N19" s="111"/>
      <c r="O19" s="109"/>
      <c r="P19" s="97"/>
      <c r="R19" s="71"/>
      <c r="S19" s="71"/>
      <c r="T19" s="104"/>
      <c r="U19" s="111"/>
      <c r="V19" s="109"/>
      <c r="W19" s="97"/>
      <c r="Y19" s="71"/>
      <c r="Z19" s="71"/>
      <c r="AA19" s="104"/>
      <c r="AB19" s="111"/>
      <c r="AC19" s="109"/>
      <c r="AD19" s="97"/>
      <c r="AF19" s="71"/>
      <c r="AG19" s="71"/>
      <c r="AH19" s="104"/>
      <c r="AI19" s="111"/>
      <c r="AJ19" s="109"/>
      <c r="AK19" s="97"/>
      <c r="AM19" s="71"/>
      <c r="AN19" s="71"/>
      <c r="AO19" s="104"/>
      <c r="AP19" s="111"/>
      <c r="AQ19" s="109"/>
      <c r="AR19" s="97"/>
      <c r="AT19" s="71"/>
      <c r="AU19" s="71"/>
      <c r="AV19" s="104"/>
      <c r="AW19" s="111"/>
      <c r="AX19" s="109"/>
      <c r="AY19" s="97"/>
      <c r="BA19" s="71"/>
      <c r="BB19" s="71"/>
      <c r="BC19" s="104"/>
      <c r="BD19" s="111"/>
      <c r="BE19" s="109"/>
      <c r="BF19" s="97"/>
      <c r="BH19" s="71"/>
      <c r="BI19" s="71"/>
      <c r="BJ19" s="104"/>
      <c r="BK19" s="111"/>
      <c r="BL19" s="109"/>
      <c r="BM19" s="97"/>
      <c r="BO19" s="71"/>
      <c r="BP19" s="71"/>
      <c r="BQ19" s="104"/>
      <c r="BR19" s="111"/>
      <c r="BS19" s="109"/>
      <c r="BT19" s="97"/>
      <c r="BV19" s="71"/>
      <c r="BW19" s="71"/>
      <c r="BX19" s="104"/>
      <c r="BY19" s="111"/>
      <c r="BZ19" s="109"/>
      <c r="CA19" s="97"/>
      <c r="CC19" s="71"/>
      <c r="CD19" s="71"/>
      <c r="CE19" s="104"/>
      <c r="CF19" s="111"/>
      <c r="CG19" s="109"/>
      <c r="CH19" s="97"/>
      <c r="CJ19" s="71"/>
      <c r="CK19" s="71"/>
      <c r="CL19" s="104"/>
      <c r="CM19" s="111"/>
      <c r="CN19" s="109"/>
      <c r="CO19" s="97"/>
      <c r="CQ19" s="71"/>
      <c r="CR19" s="71"/>
      <c r="CS19" s="104"/>
      <c r="CT19" s="111"/>
      <c r="CU19" s="109"/>
      <c r="CV19" s="97"/>
      <c r="CX19" s="71"/>
      <c r="CY19" s="71"/>
      <c r="CZ19" s="104"/>
      <c r="DA19" s="111"/>
      <c r="DB19" s="109"/>
      <c r="DC19" s="97"/>
      <c r="DE19" s="71"/>
      <c r="DF19" s="71"/>
      <c r="DG19" s="104"/>
      <c r="DH19" s="111"/>
      <c r="DI19" s="109"/>
      <c r="DJ19" s="97"/>
      <c r="DL19" s="71"/>
      <c r="DM19" s="71"/>
      <c r="DN19" s="104"/>
      <c r="DO19" s="111"/>
      <c r="DP19" s="109"/>
      <c r="DQ19" s="97"/>
      <c r="DS19" s="71"/>
      <c r="DT19" s="71"/>
      <c r="DU19" s="104"/>
      <c r="DV19" s="111"/>
      <c r="DW19" s="109"/>
      <c r="DX19" s="97"/>
      <c r="DZ19" s="71"/>
      <c r="EA19" s="71"/>
      <c r="EB19" s="104"/>
      <c r="EC19" s="111"/>
      <c r="ED19" s="109"/>
      <c r="EE19" s="97"/>
      <c r="EG19" s="71"/>
      <c r="EH19" s="71"/>
      <c r="EI19" s="104"/>
      <c r="EJ19" s="111"/>
      <c r="EK19" s="106"/>
      <c r="EL19" s="97"/>
      <c r="EN19" s="71"/>
      <c r="EO19" s="71"/>
      <c r="EP19" s="104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M19" s="72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3"/>
      <c r="HC19" s="72"/>
      <c r="HD19" s="70"/>
    </row>
    <row r="20" spans="1:212" s="74" customFormat="1" ht="9.75">
      <c r="A20" s="39">
        <v>16</v>
      </c>
      <c r="B20" s="39"/>
      <c r="D20" s="40"/>
      <c r="E20" s="75"/>
      <c r="F20" s="100"/>
      <c r="G20" s="114"/>
      <c r="H20" s="110"/>
      <c r="I20" s="98"/>
      <c r="K20" s="77"/>
      <c r="L20" s="77"/>
      <c r="M20" s="105"/>
      <c r="N20" s="114"/>
      <c r="O20" s="110"/>
      <c r="P20" s="98"/>
      <c r="R20" s="77"/>
      <c r="S20" s="77"/>
      <c r="T20" s="105"/>
      <c r="U20" s="114"/>
      <c r="V20" s="110"/>
      <c r="W20" s="98"/>
      <c r="Y20" s="77"/>
      <c r="Z20" s="77"/>
      <c r="AA20" s="105"/>
      <c r="AB20" s="114"/>
      <c r="AC20" s="110"/>
      <c r="AD20" s="98"/>
      <c r="AF20" s="77"/>
      <c r="AG20" s="77"/>
      <c r="AH20" s="105"/>
      <c r="AI20" s="114"/>
      <c r="AJ20" s="110"/>
      <c r="AK20" s="98"/>
      <c r="AM20" s="77"/>
      <c r="AN20" s="77"/>
      <c r="AO20" s="105"/>
      <c r="AP20" s="114"/>
      <c r="AQ20" s="110"/>
      <c r="AR20" s="98"/>
      <c r="AT20" s="77"/>
      <c r="AU20" s="77"/>
      <c r="AV20" s="105"/>
      <c r="AW20" s="114"/>
      <c r="AX20" s="110"/>
      <c r="AY20" s="98"/>
      <c r="BA20" s="77"/>
      <c r="BB20" s="77"/>
      <c r="BC20" s="105"/>
      <c r="BD20" s="114"/>
      <c r="BE20" s="110"/>
      <c r="BF20" s="98"/>
      <c r="BH20" s="77"/>
      <c r="BI20" s="77"/>
      <c r="BJ20" s="105"/>
      <c r="BK20" s="114"/>
      <c r="BL20" s="110"/>
      <c r="BM20" s="98"/>
      <c r="BO20" s="77"/>
      <c r="BP20" s="77"/>
      <c r="BQ20" s="105"/>
      <c r="BR20" s="114"/>
      <c r="BS20" s="110"/>
      <c r="BT20" s="98"/>
      <c r="BV20" s="77"/>
      <c r="BW20" s="77"/>
      <c r="BX20" s="105"/>
      <c r="BY20" s="114"/>
      <c r="BZ20" s="110"/>
      <c r="CA20" s="98"/>
      <c r="CC20" s="77"/>
      <c r="CD20" s="77"/>
      <c r="CE20" s="105"/>
      <c r="CF20" s="114"/>
      <c r="CG20" s="110"/>
      <c r="CH20" s="98"/>
      <c r="CJ20" s="77"/>
      <c r="CK20" s="77"/>
      <c r="CL20" s="105"/>
      <c r="CM20" s="114"/>
      <c r="CN20" s="110"/>
      <c r="CO20" s="98"/>
      <c r="CQ20" s="77"/>
      <c r="CR20" s="77"/>
      <c r="CS20" s="105"/>
      <c r="CT20" s="114"/>
      <c r="CU20" s="110"/>
      <c r="CV20" s="98"/>
      <c r="CX20" s="77"/>
      <c r="CY20" s="77"/>
      <c r="CZ20" s="105"/>
      <c r="DA20" s="114"/>
      <c r="DB20" s="110"/>
      <c r="DC20" s="98"/>
      <c r="DE20" s="77"/>
      <c r="DF20" s="77"/>
      <c r="DG20" s="105"/>
      <c r="DH20" s="114"/>
      <c r="DI20" s="110"/>
      <c r="DJ20" s="98"/>
      <c r="DL20" s="77"/>
      <c r="DM20" s="77"/>
      <c r="DN20" s="105"/>
      <c r="DO20" s="114"/>
      <c r="DP20" s="110"/>
      <c r="DQ20" s="98"/>
      <c r="DS20" s="77"/>
      <c r="DT20" s="77"/>
      <c r="DU20" s="105"/>
      <c r="DV20" s="114"/>
      <c r="DW20" s="110"/>
      <c r="DX20" s="98"/>
      <c r="DZ20" s="77"/>
      <c r="EA20" s="77"/>
      <c r="EB20" s="105"/>
      <c r="EC20" s="114"/>
      <c r="ED20" s="110"/>
      <c r="EE20" s="98"/>
      <c r="EG20" s="77"/>
      <c r="EH20" s="77"/>
      <c r="EI20" s="105"/>
      <c r="EJ20" s="114"/>
      <c r="EK20" s="107"/>
      <c r="EL20" s="98"/>
      <c r="EN20" s="77"/>
      <c r="EO20" s="77"/>
      <c r="EP20" s="105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M20" s="78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9"/>
      <c r="HC20" s="78"/>
      <c r="HD20" s="76"/>
    </row>
    <row r="21" spans="1:212" s="74" customFormat="1" ht="9.75">
      <c r="A21" s="39">
        <v>17</v>
      </c>
      <c r="B21" s="39"/>
      <c r="D21" s="40"/>
      <c r="E21" s="75"/>
      <c r="F21" s="100"/>
      <c r="G21" s="114"/>
      <c r="H21" s="110"/>
      <c r="I21" s="98"/>
      <c r="K21" s="77"/>
      <c r="L21" s="77"/>
      <c r="M21" s="105"/>
      <c r="N21" s="114"/>
      <c r="O21" s="110"/>
      <c r="P21" s="98"/>
      <c r="R21" s="77"/>
      <c r="S21" s="77"/>
      <c r="T21" s="105"/>
      <c r="U21" s="114"/>
      <c r="V21" s="110"/>
      <c r="W21" s="98"/>
      <c r="Y21" s="77"/>
      <c r="Z21" s="77"/>
      <c r="AA21" s="105"/>
      <c r="AB21" s="114"/>
      <c r="AC21" s="110"/>
      <c r="AD21" s="98"/>
      <c r="AF21" s="77"/>
      <c r="AG21" s="77"/>
      <c r="AH21" s="105"/>
      <c r="AI21" s="114"/>
      <c r="AJ21" s="110"/>
      <c r="AK21" s="98"/>
      <c r="AM21" s="77"/>
      <c r="AN21" s="77"/>
      <c r="AO21" s="105"/>
      <c r="AP21" s="114"/>
      <c r="AQ21" s="110"/>
      <c r="AR21" s="98"/>
      <c r="AT21" s="77"/>
      <c r="AU21" s="77"/>
      <c r="AV21" s="105"/>
      <c r="AW21" s="114"/>
      <c r="AX21" s="110"/>
      <c r="AY21" s="98"/>
      <c r="BA21" s="77"/>
      <c r="BB21" s="77"/>
      <c r="BC21" s="105"/>
      <c r="BD21" s="114"/>
      <c r="BE21" s="110"/>
      <c r="BF21" s="98"/>
      <c r="BH21" s="77"/>
      <c r="BI21" s="77"/>
      <c r="BJ21" s="105"/>
      <c r="BK21" s="114"/>
      <c r="BL21" s="110"/>
      <c r="BM21" s="98"/>
      <c r="BO21" s="77"/>
      <c r="BP21" s="77"/>
      <c r="BQ21" s="105"/>
      <c r="BR21" s="114"/>
      <c r="BS21" s="110"/>
      <c r="BT21" s="98"/>
      <c r="BV21" s="77"/>
      <c r="BW21" s="77"/>
      <c r="BX21" s="105"/>
      <c r="BY21" s="114"/>
      <c r="BZ21" s="110"/>
      <c r="CA21" s="98"/>
      <c r="CC21" s="77"/>
      <c r="CD21" s="77"/>
      <c r="CE21" s="105"/>
      <c r="CF21" s="114"/>
      <c r="CG21" s="110"/>
      <c r="CH21" s="98"/>
      <c r="CJ21" s="77"/>
      <c r="CK21" s="77"/>
      <c r="CL21" s="105"/>
      <c r="CM21" s="114"/>
      <c r="CN21" s="110"/>
      <c r="CO21" s="98"/>
      <c r="CQ21" s="77"/>
      <c r="CR21" s="77"/>
      <c r="CS21" s="105"/>
      <c r="CT21" s="114"/>
      <c r="CU21" s="110"/>
      <c r="CV21" s="98"/>
      <c r="CX21" s="77"/>
      <c r="CY21" s="77"/>
      <c r="CZ21" s="105"/>
      <c r="DA21" s="114"/>
      <c r="DB21" s="110"/>
      <c r="DC21" s="98"/>
      <c r="DE21" s="77"/>
      <c r="DF21" s="77"/>
      <c r="DG21" s="105"/>
      <c r="DH21" s="114"/>
      <c r="DI21" s="110"/>
      <c r="DJ21" s="98"/>
      <c r="DL21" s="77"/>
      <c r="DM21" s="77"/>
      <c r="DN21" s="105"/>
      <c r="DO21" s="114"/>
      <c r="DP21" s="110"/>
      <c r="DQ21" s="98"/>
      <c r="DS21" s="77"/>
      <c r="DT21" s="77"/>
      <c r="DU21" s="105"/>
      <c r="DV21" s="114"/>
      <c r="DW21" s="110"/>
      <c r="DX21" s="98"/>
      <c r="DZ21" s="77"/>
      <c r="EA21" s="77"/>
      <c r="EB21" s="105"/>
      <c r="EC21" s="114"/>
      <c r="ED21" s="110"/>
      <c r="EE21" s="98"/>
      <c r="EG21" s="77"/>
      <c r="EH21" s="77"/>
      <c r="EI21" s="105"/>
      <c r="EJ21" s="114"/>
      <c r="EK21" s="107"/>
      <c r="EL21" s="98"/>
      <c r="EN21" s="77"/>
      <c r="EO21" s="77"/>
      <c r="EP21" s="105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M21" s="78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9"/>
      <c r="HC21" s="78"/>
      <c r="HD21" s="76"/>
    </row>
    <row r="22" spans="1:212" s="74" customFormat="1" ht="9.75">
      <c r="A22" s="39">
        <v>18</v>
      </c>
      <c r="B22" s="39"/>
      <c r="D22" s="40"/>
      <c r="E22" s="75"/>
      <c r="F22" s="100"/>
      <c r="G22" s="114"/>
      <c r="H22" s="110"/>
      <c r="I22" s="98"/>
      <c r="K22" s="77"/>
      <c r="L22" s="77"/>
      <c r="M22" s="105"/>
      <c r="N22" s="114"/>
      <c r="O22" s="110"/>
      <c r="P22" s="98"/>
      <c r="R22" s="77"/>
      <c r="S22" s="77"/>
      <c r="T22" s="105"/>
      <c r="U22" s="114"/>
      <c r="V22" s="110"/>
      <c r="W22" s="98"/>
      <c r="Y22" s="77"/>
      <c r="Z22" s="77"/>
      <c r="AA22" s="105"/>
      <c r="AB22" s="114"/>
      <c r="AC22" s="110"/>
      <c r="AD22" s="98"/>
      <c r="AF22" s="77"/>
      <c r="AG22" s="77"/>
      <c r="AH22" s="105"/>
      <c r="AI22" s="114"/>
      <c r="AJ22" s="110"/>
      <c r="AK22" s="98"/>
      <c r="AM22" s="77"/>
      <c r="AN22" s="77"/>
      <c r="AO22" s="105"/>
      <c r="AP22" s="114"/>
      <c r="AQ22" s="110"/>
      <c r="AR22" s="98"/>
      <c r="AT22" s="77"/>
      <c r="AU22" s="77"/>
      <c r="AV22" s="105"/>
      <c r="AW22" s="114"/>
      <c r="AX22" s="110"/>
      <c r="AY22" s="98"/>
      <c r="BA22" s="77"/>
      <c r="BB22" s="77"/>
      <c r="BC22" s="105"/>
      <c r="BD22" s="114"/>
      <c r="BE22" s="110"/>
      <c r="BF22" s="98"/>
      <c r="BH22" s="77"/>
      <c r="BI22" s="77"/>
      <c r="BJ22" s="105"/>
      <c r="BK22" s="114"/>
      <c r="BL22" s="110"/>
      <c r="BM22" s="98"/>
      <c r="BO22" s="77"/>
      <c r="BP22" s="77"/>
      <c r="BQ22" s="105"/>
      <c r="BR22" s="114"/>
      <c r="BS22" s="110"/>
      <c r="BT22" s="98"/>
      <c r="BV22" s="77"/>
      <c r="BW22" s="77"/>
      <c r="BX22" s="105"/>
      <c r="BY22" s="114"/>
      <c r="BZ22" s="110"/>
      <c r="CA22" s="98"/>
      <c r="CC22" s="77"/>
      <c r="CD22" s="77"/>
      <c r="CE22" s="105"/>
      <c r="CF22" s="114"/>
      <c r="CG22" s="110"/>
      <c r="CH22" s="98"/>
      <c r="CJ22" s="77"/>
      <c r="CK22" s="77"/>
      <c r="CL22" s="105"/>
      <c r="CM22" s="114"/>
      <c r="CN22" s="110"/>
      <c r="CO22" s="98"/>
      <c r="CQ22" s="77"/>
      <c r="CR22" s="77"/>
      <c r="CS22" s="105"/>
      <c r="CT22" s="114"/>
      <c r="CU22" s="110"/>
      <c r="CV22" s="98"/>
      <c r="CX22" s="77"/>
      <c r="CY22" s="77"/>
      <c r="CZ22" s="105"/>
      <c r="DA22" s="114"/>
      <c r="DB22" s="110"/>
      <c r="DC22" s="98"/>
      <c r="DE22" s="77"/>
      <c r="DF22" s="77"/>
      <c r="DG22" s="105"/>
      <c r="DH22" s="114"/>
      <c r="DI22" s="110"/>
      <c r="DJ22" s="98"/>
      <c r="DL22" s="77"/>
      <c r="DM22" s="77"/>
      <c r="DN22" s="105"/>
      <c r="DO22" s="114"/>
      <c r="DP22" s="110"/>
      <c r="DQ22" s="98"/>
      <c r="DS22" s="77"/>
      <c r="DT22" s="77"/>
      <c r="DU22" s="105"/>
      <c r="DV22" s="114"/>
      <c r="DW22" s="110"/>
      <c r="DX22" s="98"/>
      <c r="DZ22" s="77"/>
      <c r="EA22" s="77"/>
      <c r="EB22" s="105"/>
      <c r="EC22" s="114"/>
      <c r="ED22" s="110"/>
      <c r="EE22" s="98"/>
      <c r="EG22" s="77"/>
      <c r="EH22" s="77"/>
      <c r="EI22" s="105"/>
      <c r="EJ22" s="114"/>
      <c r="EK22" s="107"/>
      <c r="EL22" s="98"/>
      <c r="EN22" s="77"/>
      <c r="EO22" s="77"/>
      <c r="EP22" s="105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M22" s="78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9"/>
      <c r="HC22" s="78"/>
      <c r="HD22" s="76"/>
    </row>
    <row r="23" spans="1:212" s="51" customFormat="1" ht="9.75">
      <c r="A23" s="41">
        <v>19</v>
      </c>
      <c r="B23" s="41"/>
      <c r="D23" s="42"/>
      <c r="E23" s="69"/>
      <c r="F23" s="99"/>
      <c r="G23" s="111"/>
      <c r="H23" s="109"/>
      <c r="I23" s="97"/>
      <c r="K23" s="71"/>
      <c r="L23" s="71"/>
      <c r="M23" s="104"/>
      <c r="N23" s="111"/>
      <c r="O23" s="109"/>
      <c r="P23" s="97"/>
      <c r="R23" s="71"/>
      <c r="S23" s="71"/>
      <c r="T23" s="104"/>
      <c r="U23" s="111"/>
      <c r="V23" s="109"/>
      <c r="W23" s="97"/>
      <c r="Y23" s="71"/>
      <c r="Z23" s="71"/>
      <c r="AA23" s="104"/>
      <c r="AB23" s="111"/>
      <c r="AC23" s="109"/>
      <c r="AD23" s="97"/>
      <c r="AF23" s="71"/>
      <c r="AG23" s="71"/>
      <c r="AH23" s="104"/>
      <c r="AI23" s="111"/>
      <c r="AJ23" s="109"/>
      <c r="AK23" s="97"/>
      <c r="AM23" s="71"/>
      <c r="AN23" s="71"/>
      <c r="AO23" s="104"/>
      <c r="AP23" s="111"/>
      <c r="AQ23" s="109"/>
      <c r="AR23" s="97"/>
      <c r="AT23" s="71"/>
      <c r="AU23" s="71"/>
      <c r="AV23" s="104"/>
      <c r="AW23" s="111"/>
      <c r="AX23" s="109"/>
      <c r="AY23" s="97"/>
      <c r="BA23" s="71"/>
      <c r="BB23" s="71"/>
      <c r="BC23" s="104"/>
      <c r="BD23" s="111"/>
      <c r="BE23" s="109"/>
      <c r="BF23" s="97"/>
      <c r="BH23" s="71"/>
      <c r="BI23" s="71"/>
      <c r="BJ23" s="104"/>
      <c r="BK23" s="111"/>
      <c r="BL23" s="109"/>
      <c r="BM23" s="97"/>
      <c r="BO23" s="71"/>
      <c r="BP23" s="71"/>
      <c r="BQ23" s="104"/>
      <c r="BR23" s="111"/>
      <c r="BS23" s="109"/>
      <c r="BT23" s="97"/>
      <c r="BV23" s="71"/>
      <c r="BW23" s="71"/>
      <c r="BX23" s="104"/>
      <c r="BY23" s="111"/>
      <c r="BZ23" s="109"/>
      <c r="CA23" s="97"/>
      <c r="CC23" s="71"/>
      <c r="CD23" s="71"/>
      <c r="CE23" s="104"/>
      <c r="CF23" s="111"/>
      <c r="CG23" s="109"/>
      <c r="CH23" s="97"/>
      <c r="CJ23" s="71"/>
      <c r="CK23" s="71"/>
      <c r="CL23" s="104"/>
      <c r="CM23" s="111"/>
      <c r="CN23" s="109"/>
      <c r="CO23" s="97"/>
      <c r="CQ23" s="71"/>
      <c r="CR23" s="71"/>
      <c r="CS23" s="104"/>
      <c r="CT23" s="111"/>
      <c r="CU23" s="109"/>
      <c r="CV23" s="97"/>
      <c r="CX23" s="71"/>
      <c r="CY23" s="71"/>
      <c r="CZ23" s="104"/>
      <c r="DA23" s="111"/>
      <c r="DB23" s="109"/>
      <c r="DC23" s="97"/>
      <c r="DE23" s="71"/>
      <c r="DF23" s="71"/>
      <c r="DG23" s="104"/>
      <c r="DH23" s="111"/>
      <c r="DI23" s="109"/>
      <c r="DJ23" s="97"/>
      <c r="DL23" s="71"/>
      <c r="DM23" s="71"/>
      <c r="DN23" s="104"/>
      <c r="DO23" s="111"/>
      <c r="DP23" s="109"/>
      <c r="DQ23" s="97"/>
      <c r="DS23" s="71"/>
      <c r="DT23" s="71"/>
      <c r="DU23" s="104"/>
      <c r="DV23" s="111"/>
      <c r="DW23" s="109"/>
      <c r="DX23" s="97"/>
      <c r="DZ23" s="71"/>
      <c r="EA23" s="71"/>
      <c r="EB23" s="104"/>
      <c r="EC23" s="111"/>
      <c r="ED23" s="109"/>
      <c r="EE23" s="97"/>
      <c r="EG23" s="71"/>
      <c r="EH23" s="71"/>
      <c r="EI23" s="104"/>
      <c r="EJ23" s="111"/>
      <c r="EK23" s="106"/>
      <c r="EL23" s="97"/>
      <c r="EN23" s="71"/>
      <c r="EO23" s="71"/>
      <c r="EP23" s="104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M23" s="72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3"/>
      <c r="HC23" s="72"/>
      <c r="HD23" s="70"/>
    </row>
    <row r="24" spans="1:212" s="51" customFormat="1" ht="9.75">
      <c r="A24" s="41">
        <v>20</v>
      </c>
      <c r="B24" s="41"/>
      <c r="D24" s="42"/>
      <c r="E24" s="69"/>
      <c r="F24" s="99"/>
      <c r="G24" s="111"/>
      <c r="H24" s="109"/>
      <c r="I24" s="97"/>
      <c r="K24" s="71"/>
      <c r="L24" s="71"/>
      <c r="M24" s="104"/>
      <c r="N24" s="111"/>
      <c r="O24" s="109"/>
      <c r="P24" s="97"/>
      <c r="R24" s="71"/>
      <c r="S24" s="71"/>
      <c r="T24" s="104"/>
      <c r="U24" s="111"/>
      <c r="V24" s="109"/>
      <c r="W24" s="97"/>
      <c r="Y24" s="71"/>
      <c r="Z24" s="71"/>
      <c r="AA24" s="104"/>
      <c r="AB24" s="111"/>
      <c r="AC24" s="109"/>
      <c r="AD24" s="97"/>
      <c r="AF24" s="71"/>
      <c r="AG24" s="71"/>
      <c r="AH24" s="104"/>
      <c r="AI24" s="111"/>
      <c r="AJ24" s="109"/>
      <c r="AK24" s="97"/>
      <c r="AM24" s="71"/>
      <c r="AN24" s="71"/>
      <c r="AO24" s="104"/>
      <c r="AP24" s="111"/>
      <c r="AQ24" s="109"/>
      <c r="AR24" s="97"/>
      <c r="AT24" s="71"/>
      <c r="AU24" s="71"/>
      <c r="AV24" s="104"/>
      <c r="AW24" s="111"/>
      <c r="AX24" s="109"/>
      <c r="AY24" s="97"/>
      <c r="BA24" s="71"/>
      <c r="BB24" s="71"/>
      <c r="BC24" s="104"/>
      <c r="BD24" s="111"/>
      <c r="BE24" s="109"/>
      <c r="BF24" s="97"/>
      <c r="BH24" s="71"/>
      <c r="BI24" s="71"/>
      <c r="BJ24" s="104"/>
      <c r="BK24" s="111"/>
      <c r="BL24" s="109"/>
      <c r="BM24" s="97"/>
      <c r="BO24" s="71"/>
      <c r="BP24" s="71"/>
      <c r="BQ24" s="104"/>
      <c r="BR24" s="111"/>
      <c r="BS24" s="109"/>
      <c r="BT24" s="97"/>
      <c r="BV24" s="71"/>
      <c r="BW24" s="71"/>
      <c r="BX24" s="104"/>
      <c r="BY24" s="111"/>
      <c r="BZ24" s="109"/>
      <c r="CA24" s="97"/>
      <c r="CC24" s="71"/>
      <c r="CD24" s="71"/>
      <c r="CE24" s="104"/>
      <c r="CF24" s="111"/>
      <c r="CG24" s="109"/>
      <c r="CH24" s="97"/>
      <c r="CJ24" s="71"/>
      <c r="CK24" s="71"/>
      <c r="CL24" s="104"/>
      <c r="CM24" s="111"/>
      <c r="CN24" s="109"/>
      <c r="CO24" s="97"/>
      <c r="CQ24" s="71"/>
      <c r="CR24" s="71"/>
      <c r="CS24" s="104"/>
      <c r="CT24" s="111"/>
      <c r="CU24" s="109"/>
      <c r="CV24" s="97"/>
      <c r="CX24" s="71"/>
      <c r="CY24" s="71"/>
      <c r="CZ24" s="104"/>
      <c r="DA24" s="111"/>
      <c r="DB24" s="109"/>
      <c r="DC24" s="97"/>
      <c r="DE24" s="71"/>
      <c r="DF24" s="71"/>
      <c r="DG24" s="104"/>
      <c r="DH24" s="111"/>
      <c r="DI24" s="109"/>
      <c r="DJ24" s="97"/>
      <c r="DL24" s="71"/>
      <c r="DM24" s="71"/>
      <c r="DN24" s="104"/>
      <c r="DO24" s="111"/>
      <c r="DP24" s="109"/>
      <c r="DQ24" s="97"/>
      <c r="DS24" s="71"/>
      <c r="DT24" s="71"/>
      <c r="DU24" s="104"/>
      <c r="DV24" s="111"/>
      <c r="DW24" s="109"/>
      <c r="DX24" s="97"/>
      <c r="DZ24" s="71"/>
      <c r="EA24" s="71"/>
      <c r="EB24" s="104"/>
      <c r="EC24" s="111"/>
      <c r="ED24" s="109"/>
      <c r="EE24" s="97"/>
      <c r="EG24" s="71"/>
      <c r="EH24" s="71"/>
      <c r="EI24" s="104"/>
      <c r="EJ24" s="111"/>
      <c r="EK24" s="106"/>
      <c r="EL24" s="97"/>
      <c r="EN24" s="71"/>
      <c r="EO24" s="71"/>
      <c r="EP24" s="104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M24" s="72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3"/>
      <c r="HC24" s="72"/>
      <c r="HD24" s="70"/>
    </row>
    <row r="25" spans="1:212" s="51" customFormat="1" ht="9.75">
      <c r="A25" s="41">
        <v>21</v>
      </c>
      <c r="B25" s="41"/>
      <c r="D25" s="42"/>
      <c r="E25" s="69"/>
      <c r="F25" s="99"/>
      <c r="G25" s="111"/>
      <c r="H25" s="109"/>
      <c r="I25" s="97"/>
      <c r="K25" s="71"/>
      <c r="L25" s="71"/>
      <c r="M25" s="104"/>
      <c r="N25" s="111"/>
      <c r="O25" s="109"/>
      <c r="P25" s="97"/>
      <c r="R25" s="71"/>
      <c r="S25" s="71"/>
      <c r="T25" s="104"/>
      <c r="U25" s="111"/>
      <c r="V25" s="109"/>
      <c r="W25" s="97"/>
      <c r="Y25" s="71"/>
      <c r="Z25" s="71"/>
      <c r="AA25" s="104"/>
      <c r="AB25" s="111"/>
      <c r="AC25" s="109"/>
      <c r="AD25" s="97"/>
      <c r="AF25" s="71"/>
      <c r="AG25" s="71"/>
      <c r="AH25" s="104"/>
      <c r="AI25" s="111"/>
      <c r="AJ25" s="109"/>
      <c r="AK25" s="97"/>
      <c r="AM25" s="71"/>
      <c r="AN25" s="71"/>
      <c r="AO25" s="104"/>
      <c r="AP25" s="111"/>
      <c r="AQ25" s="109"/>
      <c r="AR25" s="97"/>
      <c r="AT25" s="71"/>
      <c r="AU25" s="71"/>
      <c r="AV25" s="104"/>
      <c r="AW25" s="111"/>
      <c r="AX25" s="109"/>
      <c r="AY25" s="97"/>
      <c r="BA25" s="71"/>
      <c r="BB25" s="71"/>
      <c r="BC25" s="104"/>
      <c r="BD25" s="111"/>
      <c r="BE25" s="109"/>
      <c r="BF25" s="97"/>
      <c r="BH25" s="71"/>
      <c r="BI25" s="71"/>
      <c r="BJ25" s="104"/>
      <c r="BK25" s="111"/>
      <c r="BL25" s="109"/>
      <c r="BM25" s="97"/>
      <c r="BO25" s="71"/>
      <c r="BP25" s="71"/>
      <c r="BQ25" s="104"/>
      <c r="BR25" s="111"/>
      <c r="BS25" s="109"/>
      <c r="BT25" s="97"/>
      <c r="BV25" s="71"/>
      <c r="BW25" s="71"/>
      <c r="BX25" s="104"/>
      <c r="BY25" s="111"/>
      <c r="BZ25" s="109"/>
      <c r="CA25" s="97"/>
      <c r="CC25" s="71"/>
      <c r="CD25" s="71"/>
      <c r="CE25" s="104"/>
      <c r="CF25" s="111"/>
      <c r="CG25" s="109"/>
      <c r="CH25" s="97"/>
      <c r="CJ25" s="71"/>
      <c r="CK25" s="71"/>
      <c r="CL25" s="104"/>
      <c r="CM25" s="111"/>
      <c r="CN25" s="109"/>
      <c r="CO25" s="97"/>
      <c r="CQ25" s="71"/>
      <c r="CR25" s="71"/>
      <c r="CS25" s="104"/>
      <c r="CT25" s="111"/>
      <c r="CU25" s="109"/>
      <c r="CV25" s="97"/>
      <c r="CX25" s="71"/>
      <c r="CY25" s="71"/>
      <c r="CZ25" s="104"/>
      <c r="DA25" s="111"/>
      <c r="DB25" s="109"/>
      <c r="DC25" s="97"/>
      <c r="DE25" s="71"/>
      <c r="DF25" s="71"/>
      <c r="DG25" s="104"/>
      <c r="DH25" s="111"/>
      <c r="DI25" s="109"/>
      <c r="DJ25" s="97"/>
      <c r="DL25" s="71"/>
      <c r="DM25" s="71"/>
      <c r="DN25" s="104"/>
      <c r="DO25" s="111"/>
      <c r="DP25" s="109"/>
      <c r="DQ25" s="97"/>
      <c r="DS25" s="71"/>
      <c r="DT25" s="71"/>
      <c r="DU25" s="104"/>
      <c r="DV25" s="111"/>
      <c r="DW25" s="109"/>
      <c r="DX25" s="97"/>
      <c r="DZ25" s="71"/>
      <c r="EA25" s="71"/>
      <c r="EB25" s="104"/>
      <c r="EC25" s="111"/>
      <c r="ED25" s="109"/>
      <c r="EE25" s="97"/>
      <c r="EG25" s="71"/>
      <c r="EH25" s="71"/>
      <c r="EI25" s="104"/>
      <c r="EJ25" s="111"/>
      <c r="EK25" s="106"/>
      <c r="EL25" s="97"/>
      <c r="EN25" s="71"/>
      <c r="EO25" s="71"/>
      <c r="EP25" s="104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M25" s="72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3"/>
      <c r="HC25" s="72"/>
      <c r="HD25" s="70"/>
    </row>
    <row r="26" spans="1:212" s="74" customFormat="1" ht="9.75">
      <c r="A26" s="39">
        <v>22</v>
      </c>
      <c r="B26" s="39"/>
      <c r="D26" s="40"/>
      <c r="E26" s="75"/>
      <c r="F26" s="100"/>
      <c r="G26" s="114"/>
      <c r="H26" s="110"/>
      <c r="I26" s="98"/>
      <c r="K26" s="77"/>
      <c r="L26" s="77"/>
      <c r="M26" s="105"/>
      <c r="N26" s="114"/>
      <c r="O26" s="110"/>
      <c r="P26" s="98"/>
      <c r="R26" s="77"/>
      <c r="S26" s="77"/>
      <c r="T26" s="105"/>
      <c r="U26" s="114"/>
      <c r="V26" s="110"/>
      <c r="W26" s="98"/>
      <c r="Y26" s="77"/>
      <c r="Z26" s="77"/>
      <c r="AA26" s="105"/>
      <c r="AB26" s="114"/>
      <c r="AC26" s="110"/>
      <c r="AD26" s="98"/>
      <c r="AF26" s="77"/>
      <c r="AG26" s="77"/>
      <c r="AH26" s="105"/>
      <c r="AI26" s="114"/>
      <c r="AJ26" s="110"/>
      <c r="AK26" s="98"/>
      <c r="AM26" s="77"/>
      <c r="AN26" s="77"/>
      <c r="AO26" s="105"/>
      <c r="AP26" s="114"/>
      <c r="AQ26" s="110"/>
      <c r="AR26" s="98"/>
      <c r="AT26" s="77"/>
      <c r="AU26" s="77"/>
      <c r="AV26" s="105"/>
      <c r="AW26" s="114"/>
      <c r="AX26" s="110"/>
      <c r="AY26" s="98"/>
      <c r="BA26" s="77"/>
      <c r="BB26" s="77"/>
      <c r="BC26" s="105"/>
      <c r="BD26" s="114"/>
      <c r="BE26" s="110"/>
      <c r="BF26" s="98"/>
      <c r="BH26" s="77"/>
      <c r="BI26" s="77"/>
      <c r="BJ26" s="105"/>
      <c r="BK26" s="114"/>
      <c r="BL26" s="110"/>
      <c r="BM26" s="98"/>
      <c r="BO26" s="77"/>
      <c r="BP26" s="77"/>
      <c r="BQ26" s="105"/>
      <c r="BR26" s="114"/>
      <c r="BS26" s="110"/>
      <c r="BT26" s="98"/>
      <c r="BV26" s="77"/>
      <c r="BW26" s="77"/>
      <c r="BX26" s="105"/>
      <c r="BY26" s="114"/>
      <c r="BZ26" s="110"/>
      <c r="CA26" s="98"/>
      <c r="CC26" s="77"/>
      <c r="CD26" s="77"/>
      <c r="CE26" s="105"/>
      <c r="CF26" s="114"/>
      <c r="CG26" s="110"/>
      <c r="CH26" s="98"/>
      <c r="CJ26" s="77"/>
      <c r="CK26" s="77"/>
      <c r="CL26" s="105"/>
      <c r="CM26" s="114"/>
      <c r="CN26" s="110"/>
      <c r="CO26" s="98"/>
      <c r="CQ26" s="77"/>
      <c r="CR26" s="77"/>
      <c r="CS26" s="105"/>
      <c r="CT26" s="114"/>
      <c r="CU26" s="110"/>
      <c r="CV26" s="98"/>
      <c r="CX26" s="77"/>
      <c r="CY26" s="77"/>
      <c r="CZ26" s="105"/>
      <c r="DA26" s="114"/>
      <c r="DB26" s="110"/>
      <c r="DC26" s="98"/>
      <c r="DE26" s="77"/>
      <c r="DF26" s="77"/>
      <c r="DG26" s="105"/>
      <c r="DH26" s="114"/>
      <c r="DI26" s="110"/>
      <c r="DJ26" s="98"/>
      <c r="DL26" s="77"/>
      <c r="DM26" s="77"/>
      <c r="DN26" s="105"/>
      <c r="DO26" s="114"/>
      <c r="DP26" s="110"/>
      <c r="DQ26" s="98"/>
      <c r="DS26" s="77"/>
      <c r="DT26" s="77"/>
      <c r="DU26" s="105"/>
      <c r="DV26" s="114"/>
      <c r="DW26" s="110"/>
      <c r="DX26" s="98"/>
      <c r="DZ26" s="77"/>
      <c r="EA26" s="77"/>
      <c r="EB26" s="105"/>
      <c r="EC26" s="114"/>
      <c r="ED26" s="110"/>
      <c r="EE26" s="98"/>
      <c r="EG26" s="77"/>
      <c r="EH26" s="77"/>
      <c r="EI26" s="105"/>
      <c r="EJ26" s="114"/>
      <c r="EK26" s="107"/>
      <c r="EL26" s="98"/>
      <c r="EN26" s="77"/>
      <c r="EO26" s="77"/>
      <c r="EP26" s="105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M26" s="78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9"/>
      <c r="HC26" s="78"/>
      <c r="HD26" s="76"/>
    </row>
    <row r="27" spans="1:212" s="74" customFormat="1" ht="9.75">
      <c r="A27" s="39">
        <v>23</v>
      </c>
      <c r="B27" s="39"/>
      <c r="D27" s="40"/>
      <c r="E27" s="75"/>
      <c r="F27" s="100"/>
      <c r="G27" s="114"/>
      <c r="H27" s="110"/>
      <c r="I27" s="98"/>
      <c r="K27" s="77"/>
      <c r="L27" s="77"/>
      <c r="M27" s="105"/>
      <c r="N27" s="114"/>
      <c r="O27" s="110"/>
      <c r="P27" s="98"/>
      <c r="R27" s="77"/>
      <c r="S27" s="77"/>
      <c r="T27" s="105"/>
      <c r="U27" s="114"/>
      <c r="V27" s="110"/>
      <c r="W27" s="98"/>
      <c r="Y27" s="77"/>
      <c r="Z27" s="77"/>
      <c r="AA27" s="105"/>
      <c r="AB27" s="114"/>
      <c r="AC27" s="110"/>
      <c r="AD27" s="98"/>
      <c r="AF27" s="77"/>
      <c r="AG27" s="77"/>
      <c r="AH27" s="105"/>
      <c r="AI27" s="114"/>
      <c r="AJ27" s="110"/>
      <c r="AK27" s="98"/>
      <c r="AM27" s="77"/>
      <c r="AN27" s="77"/>
      <c r="AO27" s="105"/>
      <c r="AP27" s="114"/>
      <c r="AQ27" s="110"/>
      <c r="AR27" s="98"/>
      <c r="AT27" s="77"/>
      <c r="AU27" s="77"/>
      <c r="AV27" s="105"/>
      <c r="AW27" s="114"/>
      <c r="AX27" s="110"/>
      <c r="AY27" s="98"/>
      <c r="BA27" s="77"/>
      <c r="BB27" s="77"/>
      <c r="BC27" s="105"/>
      <c r="BD27" s="114"/>
      <c r="BE27" s="110"/>
      <c r="BF27" s="98"/>
      <c r="BH27" s="77"/>
      <c r="BI27" s="77"/>
      <c r="BJ27" s="105"/>
      <c r="BK27" s="114"/>
      <c r="BL27" s="110"/>
      <c r="BM27" s="98"/>
      <c r="BO27" s="77"/>
      <c r="BP27" s="77"/>
      <c r="BQ27" s="105"/>
      <c r="BR27" s="114"/>
      <c r="BS27" s="110"/>
      <c r="BT27" s="98"/>
      <c r="BV27" s="77"/>
      <c r="BW27" s="77"/>
      <c r="BX27" s="105"/>
      <c r="BY27" s="114"/>
      <c r="BZ27" s="110"/>
      <c r="CA27" s="98"/>
      <c r="CC27" s="77"/>
      <c r="CD27" s="77"/>
      <c r="CE27" s="105"/>
      <c r="CF27" s="114"/>
      <c r="CG27" s="110"/>
      <c r="CH27" s="98"/>
      <c r="CJ27" s="77"/>
      <c r="CK27" s="77"/>
      <c r="CL27" s="105"/>
      <c r="CM27" s="114"/>
      <c r="CN27" s="110"/>
      <c r="CO27" s="98"/>
      <c r="CQ27" s="77"/>
      <c r="CR27" s="77"/>
      <c r="CS27" s="105"/>
      <c r="CT27" s="114"/>
      <c r="CU27" s="110"/>
      <c r="CV27" s="98"/>
      <c r="CX27" s="77"/>
      <c r="CY27" s="77"/>
      <c r="CZ27" s="105"/>
      <c r="DA27" s="114"/>
      <c r="DB27" s="110"/>
      <c r="DC27" s="98"/>
      <c r="DE27" s="77"/>
      <c r="DF27" s="77"/>
      <c r="DG27" s="105"/>
      <c r="DH27" s="114"/>
      <c r="DI27" s="110"/>
      <c r="DJ27" s="98"/>
      <c r="DL27" s="77"/>
      <c r="DM27" s="77"/>
      <c r="DN27" s="105"/>
      <c r="DO27" s="114"/>
      <c r="DP27" s="110"/>
      <c r="DQ27" s="98"/>
      <c r="DS27" s="77"/>
      <c r="DT27" s="77"/>
      <c r="DU27" s="105"/>
      <c r="DV27" s="114"/>
      <c r="DW27" s="110"/>
      <c r="DX27" s="98"/>
      <c r="DZ27" s="77"/>
      <c r="EA27" s="77"/>
      <c r="EB27" s="105"/>
      <c r="EC27" s="114"/>
      <c r="ED27" s="110"/>
      <c r="EE27" s="98"/>
      <c r="EG27" s="77"/>
      <c r="EH27" s="77"/>
      <c r="EI27" s="105"/>
      <c r="EJ27" s="114"/>
      <c r="EK27" s="107"/>
      <c r="EL27" s="98"/>
      <c r="EN27" s="77"/>
      <c r="EO27" s="77"/>
      <c r="EP27" s="105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M27" s="78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9"/>
      <c r="HC27" s="78"/>
      <c r="HD27" s="76"/>
    </row>
    <row r="28" spans="1:212" s="74" customFormat="1" ht="9.75">
      <c r="A28" s="39">
        <v>24</v>
      </c>
      <c r="B28" s="39"/>
      <c r="D28" s="40"/>
      <c r="E28" s="75"/>
      <c r="F28" s="100"/>
      <c r="G28" s="114"/>
      <c r="H28" s="110"/>
      <c r="I28" s="98"/>
      <c r="K28" s="77"/>
      <c r="L28" s="77"/>
      <c r="M28" s="105"/>
      <c r="N28" s="114"/>
      <c r="O28" s="110"/>
      <c r="P28" s="98"/>
      <c r="R28" s="77"/>
      <c r="S28" s="77"/>
      <c r="T28" s="105"/>
      <c r="U28" s="114"/>
      <c r="V28" s="110"/>
      <c r="W28" s="98"/>
      <c r="Y28" s="77"/>
      <c r="Z28" s="77"/>
      <c r="AA28" s="105"/>
      <c r="AB28" s="114"/>
      <c r="AC28" s="110"/>
      <c r="AD28" s="98"/>
      <c r="AF28" s="77"/>
      <c r="AG28" s="77"/>
      <c r="AH28" s="105"/>
      <c r="AI28" s="114"/>
      <c r="AJ28" s="110"/>
      <c r="AK28" s="98"/>
      <c r="AM28" s="77"/>
      <c r="AN28" s="77"/>
      <c r="AO28" s="105"/>
      <c r="AP28" s="114"/>
      <c r="AQ28" s="110"/>
      <c r="AR28" s="98"/>
      <c r="AT28" s="77"/>
      <c r="AU28" s="77"/>
      <c r="AV28" s="105"/>
      <c r="AW28" s="114"/>
      <c r="AX28" s="110"/>
      <c r="AY28" s="98"/>
      <c r="BA28" s="77"/>
      <c r="BB28" s="77"/>
      <c r="BC28" s="105"/>
      <c r="BD28" s="114"/>
      <c r="BE28" s="110"/>
      <c r="BF28" s="98"/>
      <c r="BH28" s="77"/>
      <c r="BI28" s="77"/>
      <c r="BJ28" s="105"/>
      <c r="BK28" s="114"/>
      <c r="BL28" s="110"/>
      <c r="BM28" s="98"/>
      <c r="BO28" s="77"/>
      <c r="BP28" s="77"/>
      <c r="BQ28" s="105"/>
      <c r="BR28" s="114"/>
      <c r="BS28" s="110"/>
      <c r="BT28" s="98"/>
      <c r="BV28" s="77"/>
      <c r="BW28" s="77"/>
      <c r="BX28" s="105"/>
      <c r="BY28" s="114"/>
      <c r="BZ28" s="110"/>
      <c r="CA28" s="98"/>
      <c r="CC28" s="77"/>
      <c r="CD28" s="77"/>
      <c r="CE28" s="105"/>
      <c r="CF28" s="114"/>
      <c r="CG28" s="110"/>
      <c r="CH28" s="98"/>
      <c r="CJ28" s="77"/>
      <c r="CK28" s="77"/>
      <c r="CL28" s="105"/>
      <c r="CM28" s="114"/>
      <c r="CN28" s="110"/>
      <c r="CO28" s="98"/>
      <c r="CQ28" s="77"/>
      <c r="CR28" s="77"/>
      <c r="CS28" s="105"/>
      <c r="CT28" s="114"/>
      <c r="CU28" s="110"/>
      <c r="CV28" s="98"/>
      <c r="CX28" s="77"/>
      <c r="CY28" s="77"/>
      <c r="CZ28" s="105"/>
      <c r="DA28" s="114"/>
      <c r="DB28" s="110"/>
      <c r="DC28" s="98"/>
      <c r="DE28" s="77"/>
      <c r="DF28" s="77"/>
      <c r="DG28" s="105"/>
      <c r="DH28" s="114"/>
      <c r="DI28" s="110"/>
      <c r="DJ28" s="98"/>
      <c r="DL28" s="77"/>
      <c r="DM28" s="77"/>
      <c r="DN28" s="105"/>
      <c r="DO28" s="114"/>
      <c r="DP28" s="110"/>
      <c r="DQ28" s="98"/>
      <c r="DS28" s="77"/>
      <c r="DT28" s="77"/>
      <c r="DU28" s="105"/>
      <c r="DV28" s="114"/>
      <c r="DW28" s="110"/>
      <c r="DX28" s="98"/>
      <c r="DZ28" s="77"/>
      <c r="EA28" s="77"/>
      <c r="EB28" s="105"/>
      <c r="EC28" s="114"/>
      <c r="ED28" s="110"/>
      <c r="EE28" s="98"/>
      <c r="EG28" s="77"/>
      <c r="EH28" s="77"/>
      <c r="EI28" s="105"/>
      <c r="EJ28" s="114"/>
      <c r="EK28" s="107"/>
      <c r="EL28" s="98"/>
      <c r="EN28" s="77"/>
      <c r="EO28" s="77"/>
      <c r="EP28" s="105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M28" s="78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9"/>
      <c r="HC28" s="78"/>
      <c r="HD28" s="76"/>
    </row>
    <row r="29" spans="1:212" s="51" customFormat="1" ht="9.75">
      <c r="A29" s="41">
        <v>25</v>
      </c>
      <c r="B29" s="41"/>
      <c r="D29" s="42"/>
      <c r="E29" s="69"/>
      <c r="F29" s="99"/>
      <c r="G29" s="111"/>
      <c r="H29" s="109"/>
      <c r="I29" s="97"/>
      <c r="K29" s="71"/>
      <c r="L29" s="71"/>
      <c r="M29" s="104"/>
      <c r="N29" s="111"/>
      <c r="O29" s="109"/>
      <c r="P29" s="97"/>
      <c r="R29" s="71"/>
      <c r="S29" s="71"/>
      <c r="T29" s="104"/>
      <c r="U29" s="111"/>
      <c r="V29" s="109"/>
      <c r="W29" s="97"/>
      <c r="Y29" s="71"/>
      <c r="Z29" s="71"/>
      <c r="AA29" s="104"/>
      <c r="AB29" s="111"/>
      <c r="AC29" s="109"/>
      <c r="AD29" s="97"/>
      <c r="AF29" s="71"/>
      <c r="AG29" s="71"/>
      <c r="AH29" s="104"/>
      <c r="AI29" s="111"/>
      <c r="AJ29" s="109"/>
      <c r="AK29" s="97"/>
      <c r="AM29" s="71"/>
      <c r="AN29" s="71"/>
      <c r="AO29" s="104"/>
      <c r="AP29" s="111"/>
      <c r="AQ29" s="109"/>
      <c r="AR29" s="97"/>
      <c r="AT29" s="71"/>
      <c r="AU29" s="71"/>
      <c r="AV29" s="104"/>
      <c r="AW29" s="111"/>
      <c r="AX29" s="109"/>
      <c r="AY29" s="97"/>
      <c r="BA29" s="71"/>
      <c r="BB29" s="71"/>
      <c r="BC29" s="104"/>
      <c r="BD29" s="111"/>
      <c r="BE29" s="109"/>
      <c r="BF29" s="97"/>
      <c r="BH29" s="71"/>
      <c r="BI29" s="71"/>
      <c r="BJ29" s="104"/>
      <c r="BK29" s="111"/>
      <c r="BL29" s="109"/>
      <c r="BM29" s="97"/>
      <c r="BO29" s="71"/>
      <c r="BP29" s="71"/>
      <c r="BQ29" s="104"/>
      <c r="BR29" s="111"/>
      <c r="BS29" s="109"/>
      <c r="BT29" s="97"/>
      <c r="BV29" s="71"/>
      <c r="BW29" s="71"/>
      <c r="BX29" s="104"/>
      <c r="BY29" s="111"/>
      <c r="BZ29" s="109"/>
      <c r="CA29" s="97"/>
      <c r="CC29" s="71"/>
      <c r="CD29" s="71"/>
      <c r="CE29" s="104"/>
      <c r="CF29" s="111"/>
      <c r="CG29" s="109"/>
      <c r="CH29" s="97"/>
      <c r="CJ29" s="71"/>
      <c r="CK29" s="71"/>
      <c r="CL29" s="104"/>
      <c r="CM29" s="111"/>
      <c r="CN29" s="109"/>
      <c r="CO29" s="97"/>
      <c r="CQ29" s="71"/>
      <c r="CR29" s="71"/>
      <c r="CS29" s="104"/>
      <c r="CT29" s="111"/>
      <c r="CU29" s="109"/>
      <c r="CV29" s="97"/>
      <c r="CX29" s="71"/>
      <c r="CY29" s="71"/>
      <c r="CZ29" s="104"/>
      <c r="DA29" s="111"/>
      <c r="DB29" s="109"/>
      <c r="DC29" s="97"/>
      <c r="DE29" s="71"/>
      <c r="DF29" s="71"/>
      <c r="DG29" s="104"/>
      <c r="DH29" s="111"/>
      <c r="DI29" s="109"/>
      <c r="DJ29" s="97"/>
      <c r="DL29" s="71"/>
      <c r="DM29" s="71"/>
      <c r="DN29" s="104"/>
      <c r="DO29" s="111"/>
      <c r="DP29" s="109"/>
      <c r="DQ29" s="97"/>
      <c r="DS29" s="71"/>
      <c r="DT29" s="71"/>
      <c r="DU29" s="104"/>
      <c r="DV29" s="111"/>
      <c r="DW29" s="109"/>
      <c r="DX29" s="97"/>
      <c r="DZ29" s="71"/>
      <c r="EA29" s="71"/>
      <c r="EB29" s="104"/>
      <c r="EC29" s="111"/>
      <c r="ED29" s="109"/>
      <c r="EE29" s="97"/>
      <c r="EG29" s="71"/>
      <c r="EH29" s="71"/>
      <c r="EI29" s="104"/>
      <c r="EJ29" s="111"/>
      <c r="EK29" s="106"/>
      <c r="EL29" s="97"/>
      <c r="EN29" s="71"/>
      <c r="EO29" s="71"/>
      <c r="EP29" s="104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M29" s="72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3"/>
      <c r="HC29" s="72"/>
      <c r="HD29" s="70"/>
    </row>
    <row r="30" spans="1:212" s="51" customFormat="1" ht="9.75">
      <c r="A30" s="41">
        <v>26</v>
      </c>
      <c r="B30" s="41"/>
      <c r="D30" s="42"/>
      <c r="E30" s="69"/>
      <c r="F30" s="99"/>
      <c r="G30" s="111"/>
      <c r="H30" s="109"/>
      <c r="I30" s="97"/>
      <c r="K30" s="71"/>
      <c r="L30" s="71"/>
      <c r="M30" s="104"/>
      <c r="N30" s="111"/>
      <c r="O30" s="109"/>
      <c r="P30" s="97"/>
      <c r="R30" s="71"/>
      <c r="S30" s="71"/>
      <c r="T30" s="104"/>
      <c r="U30" s="111"/>
      <c r="V30" s="109"/>
      <c r="W30" s="97"/>
      <c r="Y30" s="71"/>
      <c r="Z30" s="71"/>
      <c r="AA30" s="104"/>
      <c r="AB30" s="111"/>
      <c r="AC30" s="109"/>
      <c r="AD30" s="97"/>
      <c r="AF30" s="71"/>
      <c r="AG30" s="71"/>
      <c r="AH30" s="104"/>
      <c r="AI30" s="111"/>
      <c r="AJ30" s="109"/>
      <c r="AK30" s="97"/>
      <c r="AM30" s="71"/>
      <c r="AN30" s="71"/>
      <c r="AO30" s="104"/>
      <c r="AP30" s="111"/>
      <c r="AQ30" s="109"/>
      <c r="AR30" s="97"/>
      <c r="AT30" s="71"/>
      <c r="AU30" s="71"/>
      <c r="AV30" s="104"/>
      <c r="AW30" s="111"/>
      <c r="AX30" s="109"/>
      <c r="AY30" s="97"/>
      <c r="BA30" s="71"/>
      <c r="BB30" s="71"/>
      <c r="BC30" s="104"/>
      <c r="BD30" s="111"/>
      <c r="BE30" s="109"/>
      <c r="BF30" s="97"/>
      <c r="BH30" s="71"/>
      <c r="BI30" s="71"/>
      <c r="BJ30" s="104"/>
      <c r="BK30" s="111"/>
      <c r="BL30" s="109"/>
      <c r="BM30" s="97"/>
      <c r="BO30" s="71"/>
      <c r="BP30" s="71"/>
      <c r="BQ30" s="104"/>
      <c r="BR30" s="111"/>
      <c r="BS30" s="109"/>
      <c r="BT30" s="97"/>
      <c r="BV30" s="71"/>
      <c r="BW30" s="71"/>
      <c r="BX30" s="104"/>
      <c r="BY30" s="111"/>
      <c r="BZ30" s="109"/>
      <c r="CA30" s="97"/>
      <c r="CC30" s="71"/>
      <c r="CD30" s="71"/>
      <c r="CE30" s="104"/>
      <c r="CF30" s="111"/>
      <c r="CG30" s="109"/>
      <c r="CH30" s="97"/>
      <c r="CJ30" s="71"/>
      <c r="CK30" s="71"/>
      <c r="CL30" s="104"/>
      <c r="CM30" s="111"/>
      <c r="CN30" s="109"/>
      <c r="CO30" s="97"/>
      <c r="CQ30" s="71"/>
      <c r="CR30" s="71"/>
      <c r="CS30" s="104"/>
      <c r="CT30" s="111"/>
      <c r="CU30" s="109"/>
      <c r="CV30" s="97"/>
      <c r="CX30" s="71"/>
      <c r="CY30" s="71"/>
      <c r="CZ30" s="104"/>
      <c r="DA30" s="111"/>
      <c r="DB30" s="109"/>
      <c r="DC30" s="97"/>
      <c r="DE30" s="71"/>
      <c r="DF30" s="71"/>
      <c r="DG30" s="104"/>
      <c r="DH30" s="111"/>
      <c r="DI30" s="109"/>
      <c r="DJ30" s="97"/>
      <c r="DL30" s="71"/>
      <c r="DM30" s="71"/>
      <c r="DN30" s="104"/>
      <c r="DO30" s="111"/>
      <c r="DP30" s="109"/>
      <c r="DQ30" s="97"/>
      <c r="DS30" s="71"/>
      <c r="DT30" s="71"/>
      <c r="DU30" s="104"/>
      <c r="DV30" s="111"/>
      <c r="DW30" s="109"/>
      <c r="DX30" s="97"/>
      <c r="DZ30" s="71"/>
      <c r="EA30" s="71"/>
      <c r="EB30" s="104"/>
      <c r="EC30" s="111"/>
      <c r="ED30" s="109"/>
      <c r="EE30" s="97"/>
      <c r="EG30" s="71"/>
      <c r="EH30" s="71"/>
      <c r="EI30" s="104"/>
      <c r="EJ30" s="111"/>
      <c r="EK30" s="106"/>
      <c r="EL30" s="97"/>
      <c r="EN30" s="71"/>
      <c r="EO30" s="71"/>
      <c r="EP30" s="104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M30" s="72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3"/>
      <c r="HC30" s="72"/>
      <c r="HD30" s="70"/>
    </row>
    <row r="31" spans="1:212" s="51" customFormat="1" ht="9.75">
      <c r="A31" s="41">
        <v>27</v>
      </c>
      <c r="B31" s="41"/>
      <c r="D31" s="42"/>
      <c r="E31" s="69"/>
      <c r="F31" s="99"/>
      <c r="G31" s="111"/>
      <c r="H31" s="109"/>
      <c r="I31" s="97"/>
      <c r="K31" s="71"/>
      <c r="L31" s="71"/>
      <c r="M31" s="104"/>
      <c r="N31" s="111"/>
      <c r="O31" s="109"/>
      <c r="P31" s="97"/>
      <c r="R31" s="71"/>
      <c r="S31" s="71"/>
      <c r="T31" s="104"/>
      <c r="U31" s="111"/>
      <c r="V31" s="109"/>
      <c r="W31" s="97"/>
      <c r="Y31" s="71"/>
      <c r="Z31" s="71"/>
      <c r="AA31" s="104"/>
      <c r="AB31" s="111"/>
      <c r="AC31" s="109"/>
      <c r="AD31" s="97"/>
      <c r="AF31" s="71"/>
      <c r="AG31" s="71"/>
      <c r="AH31" s="104"/>
      <c r="AI31" s="111"/>
      <c r="AJ31" s="109"/>
      <c r="AK31" s="97"/>
      <c r="AM31" s="71"/>
      <c r="AN31" s="71"/>
      <c r="AO31" s="104"/>
      <c r="AP31" s="111"/>
      <c r="AQ31" s="109"/>
      <c r="AR31" s="97"/>
      <c r="AT31" s="71"/>
      <c r="AU31" s="71"/>
      <c r="AV31" s="104"/>
      <c r="AW31" s="111"/>
      <c r="AX31" s="109"/>
      <c r="AY31" s="97"/>
      <c r="BA31" s="71"/>
      <c r="BB31" s="71"/>
      <c r="BC31" s="104"/>
      <c r="BD31" s="111"/>
      <c r="BE31" s="109"/>
      <c r="BF31" s="97"/>
      <c r="BH31" s="71"/>
      <c r="BI31" s="71"/>
      <c r="BJ31" s="104"/>
      <c r="BK31" s="111"/>
      <c r="BL31" s="109"/>
      <c r="BM31" s="97"/>
      <c r="BO31" s="71"/>
      <c r="BP31" s="71"/>
      <c r="BQ31" s="104"/>
      <c r="BR31" s="111"/>
      <c r="BS31" s="109"/>
      <c r="BT31" s="97"/>
      <c r="BV31" s="71"/>
      <c r="BW31" s="71"/>
      <c r="BX31" s="104"/>
      <c r="BY31" s="111"/>
      <c r="BZ31" s="109"/>
      <c r="CA31" s="97"/>
      <c r="CC31" s="71"/>
      <c r="CD31" s="71"/>
      <c r="CE31" s="104"/>
      <c r="CF31" s="111"/>
      <c r="CG31" s="109"/>
      <c r="CH31" s="97"/>
      <c r="CJ31" s="71"/>
      <c r="CK31" s="71"/>
      <c r="CL31" s="104"/>
      <c r="CM31" s="111"/>
      <c r="CN31" s="109"/>
      <c r="CO31" s="97"/>
      <c r="CQ31" s="71"/>
      <c r="CR31" s="71"/>
      <c r="CS31" s="104"/>
      <c r="CT31" s="111"/>
      <c r="CU31" s="109"/>
      <c r="CV31" s="97"/>
      <c r="CX31" s="71"/>
      <c r="CY31" s="71"/>
      <c r="CZ31" s="104"/>
      <c r="DA31" s="111"/>
      <c r="DB31" s="109"/>
      <c r="DC31" s="97"/>
      <c r="DE31" s="71"/>
      <c r="DF31" s="71"/>
      <c r="DG31" s="104"/>
      <c r="DH31" s="111"/>
      <c r="DI31" s="109"/>
      <c r="DJ31" s="97"/>
      <c r="DL31" s="71"/>
      <c r="DM31" s="71"/>
      <c r="DN31" s="104"/>
      <c r="DO31" s="111"/>
      <c r="DP31" s="109"/>
      <c r="DQ31" s="97"/>
      <c r="DS31" s="71"/>
      <c r="DT31" s="71"/>
      <c r="DU31" s="104"/>
      <c r="DV31" s="111"/>
      <c r="DW31" s="109"/>
      <c r="DX31" s="97"/>
      <c r="DZ31" s="71"/>
      <c r="EA31" s="71"/>
      <c r="EB31" s="104"/>
      <c r="EC31" s="111"/>
      <c r="ED31" s="109"/>
      <c r="EE31" s="97"/>
      <c r="EG31" s="71"/>
      <c r="EH31" s="71"/>
      <c r="EI31" s="104"/>
      <c r="EJ31" s="111"/>
      <c r="EK31" s="106"/>
      <c r="EL31" s="97"/>
      <c r="EN31" s="71"/>
      <c r="EO31" s="71"/>
      <c r="EP31" s="104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M31" s="72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3"/>
      <c r="HC31" s="72"/>
      <c r="HD31" s="70"/>
    </row>
    <row r="32" spans="1:212" s="74" customFormat="1" ht="9.75">
      <c r="A32" s="39">
        <v>28</v>
      </c>
      <c r="B32" s="39"/>
      <c r="D32" s="40"/>
      <c r="E32" s="75"/>
      <c r="F32" s="100"/>
      <c r="G32" s="114"/>
      <c r="H32" s="110"/>
      <c r="I32" s="98"/>
      <c r="K32" s="77"/>
      <c r="L32" s="77"/>
      <c r="M32" s="105"/>
      <c r="N32" s="114"/>
      <c r="O32" s="110"/>
      <c r="P32" s="98"/>
      <c r="R32" s="77"/>
      <c r="S32" s="77"/>
      <c r="T32" s="105"/>
      <c r="U32" s="114"/>
      <c r="V32" s="110"/>
      <c r="W32" s="98"/>
      <c r="Y32" s="77"/>
      <c r="Z32" s="77"/>
      <c r="AA32" s="105"/>
      <c r="AB32" s="114"/>
      <c r="AC32" s="110"/>
      <c r="AD32" s="98"/>
      <c r="AF32" s="77"/>
      <c r="AG32" s="77"/>
      <c r="AH32" s="105"/>
      <c r="AI32" s="114"/>
      <c r="AJ32" s="110"/>
      <c r="AK32" s="98"/>
      <c r="AM32" s="77"/>
      <c r="AN32" s="77"/>
      <c r="AO32" s="105"/>
      <c r="AP32" s="114"/>
      <c r="AQ32" s="110"/>
      <c r="AR32" s="98"/>
      <c r="AT32" s="77"/>
      <c r="AU32" s="77"/>
      <c r="AV32" s="105"/>
      <c r="AW32" s="114"/>
      <c r="AX32" s="110"/>
      <c r="AY32" s="98"/>
      <c r="BA32" s="77"/>
      <c r="BB32" s="77"/>
      <c r="BC32" s="105"/>
      <c r="BD32" s="114"/>
      <c r="BE32" s="110"/>
      <c r="BF32" s="98"/>
      <c r="BH32" s="77"/>
      <c r="BI32" s="77"/>
      <c r="BJ32" s="105"/>
      <c r="BK32" s="114"/>
      <c r="BL32" s="110"/>
      <c r="BM32" s="98"/>
      <c r="BO32" s="77"/>
      <c r="BP32" s="77"/>
      <c r="BQ32" s="105"/>
      <c r="BR32" s="114"/>
      <c r="BS32" s="110"/>
      <c r="BT32" s="98"/>
      <c r="BV32" s="77"/>
      <c r="BW32" s="77"/>
      <c r="BX32" s="105"/>
      <c r="BY32" s="114"/>
      <c r="BZ32" s="110"/>
      <c r="CA32" s="98"/>
      <c r="CC32" s="77"/>
      <c r="CD32" s="77"/>
      <c r="CE32" s="105"/>
      <c r="CF32" s="114"/>
      <c r="CG32" s="110"/>
      <c r="CH32" s="98"/>
      <c r="CJ32" s="77"/>
      <c r="CK32" s="77"/>
      <c r="CL32" s="105"/>
      <c r="CM32" s="114"/>
      <c r="CN32" s="110"/>
      <c r="CO32" s="98"/>
      <c r="CQ32" s="77"/>
      <c r="CR32" s="77"/>
      <c r="CS32" s="105"/>
      <c r="CT32" s="114"/>
      <c r="CU32" s="110"/>
      <c r="CV32" s="98"/>
      <c r="CX32" s="77"/>
      <c r="CY32" s="77"/>
      <c r="CZ32" s="105"/>
      <c r="DA32" s="114"/>
      <c r="DB32" s="110"/>
      <c r="DC32" s="98"/>
      <c r="DE32" s="77"/>
      <c r="DF32" s="77"/>
      <c r="DG32" s="105"/>
      <c r="DH32" s="114"/>
      <c r="DI32" s="110"/>
      <c r="DJ32" s="98"/>
      <c r="DL32" s="77"/>
      <c r="DM32" s="77"/>
      <c r="DN32" s="105"/>
      <c r="DO32" s="114"/>
      <c r="DP32" s="110"/>
      <c r="DQ32" s="98"/>
      <c r="DS32" s="77"/>
      <c r="DT32" s="77"/>
      <c r="DU32" s="105"/>
      <c r="DV32" s="114"/>
      <c r="DW32" s="110"/>
      <c r="DX32" s="98"/>
      <c r="DZ32" s="77"/>
      <c r="EA32" s="77"/>
      <c r="EB32" s="105"/>
      <c r="EC32" s="114"/>
      <c r="ED32" s="110"/>
      <c r="EE32" s="98"/>
      <c r="EG32" s="77"/>
      <c r="EH32" s="77"/>
      <c r="EI32" s="105"/>
      <c r="EJ32" s="114"/>
      <c r="EK32" s="107"/>
      <c r="EL32" s="98"/>
      <c r="EN32" s="77"/>
      <c r="EO32" s="77"/>
      <c r="EP32" s="105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M32" s="78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9"/>
      <c r="HC32" s="78"/>
      <c r="HD32" s="76"/>
    </row>
    <row r="33" spans="1:212" s="74" customFormat="1" ht="9.75">
      <c r="A33" s="39">
        <v>29</v>
      </c>
      <c r="B33" s="39"/>
      <c r="D33" s="40"/>
      <c r="E33" s="75"/>
      <c r="F33" s="100"/>
      <c r="G33" s="114"/>
      <c r="H33" s="110"/>
      <c r="I33" s="98"/>
      <c r="K33" s="77"/>
      <c r="L33" s="77"/>
      <c r="M33" s="105"/>
      <c r="N33" s="114"/>
      <c r="O33" s="110"/>
      <c r="P33" s="98"/>
      <c r="R33" s="77"/>
      <c r="S33" s="77"/>
      <c r="T33" s="105"/>
      <c r="U33" s="114"/>
      <c r="V33" s="110"/>
      <c r="W33" s="98"/>
      <c r="Y33" s="77"/>
      <c r="Z33" s="77"/>
      <c r="AA33" s="105"/>
      <c r="AB33" s="114"/>
      <c r="AC33" s="110"/>
      <c r="AD33" s="98"/>
      <c r="AF33" s="77"/>
      <c r="AG33" s="77"/>
      <c r="AH33" s="105"/>
      <c r="AI33" s="114"/>
      <c r="AJ33" s="110"/>
      <c r="AK33" s="98"/>
      <c r="AM33" s="77"/>
      <c r="AN33" s="77"/>
      <c r="AO33" s="105"/>
      <c r="AP33" s="114"/>
      <c r="AQ33" s="110"/>
      <c r="AR33" s="98"/>
      <c r="AT33" s="77"/>
      <c r="AU33" s="77"/>
      <c r="AV33" s="105"/>
      <c r="AW33" s="114"/>
      <c r="AX33" s="110"/>
      <c r="AY33" s="98"/>
      <c r="BA33" s="77"/>
      <c r="BB33" s="77"/>
      <c r="BC33" s="105"/>
      <c r="BD33" s="114"/>
      <c r="BE33" s="110"/>
      <c r="BF33" s="98"/>
      <c r="BH33" s="77"/>
      <c r="BI33" s="77"/>
      <c r="BJ33" s="105"/>
      <c r="BK33" s="114"/>
      <c r="BL33" s="110"/>
      <c r="BM33" s="98"/>
      <c r="BO33" s="77"/>
      <c r="BP33" s="77"/>
      <c r="BQ33" s="105"/>
      <c r="BR33" s="114"/>
      <c r="BS33" s="110"/>
      <c r="BT33" s="98"/>
      <c r="BV33" s="77"/>
      <c r="BW33" s="77"/>
      <c r="BX33" s="105"/>
      <c r="BY33" s="114"/>
      <c r="BZ33" s="110"/>
      <c r="CA33" s="98"/>
      <c r="CC33" s="77"/>
      <c r="CD33" s="77"/>
      <c r="CE33" s="105"/>
      <c r="CF33" s="114"/>
      <c r="CG33" s="110"/>
      <c r="CH33" s="98"/>
      <c r="CJ33" s="77"/>
      <c r="CK33" s="77"/>
      <c r="CL33" s="105"/>
      <c r="CM33" s="114"/>
      <c r="CN33" s="110"/>
      <c r="CO33" s="98"/>
      <c r="CQ33" s="77"/>
      <c r="CR33" s="77"/>
      <c r="CS33" s="105"/>
      <c r="CT33" s="114"/>
      <c r="CU33" s="110"/>
      <c r="CV33" s="98"/>
      <c r="CX33" s="77"/>
      <c r="CY33" s="77"/>
      <c r="CZ33" s="105"/>
      <c r="DA33" s="114"/>
      <c r="DB33" s="110"/>
      <c r="DC33" s="98"/>
      <c r="DE33" s="77"/>
      <c r="DF33" s="77"/>
      <c r="DG33" s="105"/>
      <c r="DH33" s="114"/>
      <c r="DI33" s="110"/>
      <c r="DJ33" s="98"/>
      <c r="DL33" s="77"/>
      <c r="DM33" s="77"/>
      <c r="DN33" s="105"/>
      <c r="DO33" s="114"/>
      <c r="DP33" s="110"/>
      <c r="DQ33" s="98"/>
      <c r="DS33" s="77"/>
      <c r="DT33" s="77"/>
      <c r="DU33" s="105"/>
      <c r="DV33" s="114"/>
      <c r="DW33" s="110"/>
      <c r="DX33" s="98"/>
      <c r="DZ33" s="77"/>
      <c r="EA33" s="77"/>
      <c r="EB33" s="105"/>
      <c r="EC33" s="114"/>
      <c r="ED33" s="110"/>
      <c r="EE33" s="98"/>
      <c r="EG33" s="77"/>
      <c r="EH33" s="77"/>
      <c r="EI33" s="105"/>
      <c r="EJ33" s="114"/>
      <c r="EK33" s="107"/>
      <c r="EL33" s="98"/>
      <c r="EN33" s="77"/>
      <c r="EO33" s="77"/>
      <c r="EP33" s="105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M33" s="78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9"/>
      <c r="HC33" s="78"/>
      <c r="HD33" s="76"/>
    </row>
    <row r="34" spans="1:212" s="74" customFormat="1" ht="9.75">
      <c r="A34" s="39">
        <v>30</v>
      </c>
      <c r="B34" s="39"/>
      <c r="D34" s="40"/>
      <c r="E34" s="75"/>
      <c r="F34" s="100"/>
      <c r="G34" s="114"/>
      <c r="H34" s="110"/>
      <c r="I34" s="98"/>
      <c r="K34" s="77"/>
      <c r="L34" s="77"/>
      <c r="M34" s="105"/>
      <c r="N34" s="114"/>
      <c r="O34" s="110"/>
      <c r="P34" s="98"/>
      <c r="R34" s="77"/>
      <c r="S34" s="77"/>
      <c r="T34" s="105"/>
      <c r="U34" s="114"/>
      <c r="V34" s="110"/>
      <c r="W34" s="98"/>
      <c r="Y34" s="77"/>
      <c r="Z34" s="77"/>
      <c r="AA34" s="105"/>
      <c r="AB34" s="114"/>
      <c r="AC34" s="110"/>
      <c r="AD34" s="98"/>
      <c r="AF34" s="77"/>
      <c r="AG34" s="77"/>
      <c r="AH34" s="105"/>
      <c r="AI34" s="114"/>
      <c r="AJ34" s="110"/>
      <c r="AK34" s="98"/>
      <c r="AM34" s="77"/>
      <c r="AN34" s="77"/>
      <c r="AO34" s="105"/>
      <c r="AP34" s="114"/>
      <c r="AQ34" s="110"/>
      <c r="AR34" s="98"/>
      <c r="AT34" s="77"/>
      <c r="AU34" s="77"/>
      <c r="AV34" s="105"/>
      <c r="AW34" s="114"/>
      <c r="AX34" s="110"/>
      <c r="AY34" s="98"/>
      <c r="BA34" s="77"/>
      <c r="BB34" s="77"/>
      <c r="BC34" s="105"/>
      <c r="BD34" s="114"/>
      <c r="BE34" s="110"/>
      <c r="BF34" s="98"/>
      <c r="BH34" s="77"/>
      <c r="BI34" s="77"/>
      <c r="BJ34" s="105"/>
      <c r="BK34" s="114"/>
      <c r="BL34" s="110"/>
      <c r="BM34" s="98"/>
      <c r="BO34" s="77"/>
      <c r="BP34" s="77"/>
      <c r="BQ34" s="105"/>
      <c r="BR34" s="114"/>
      <c r="BS34" s="110"/>
      <c r="BT34" s="98"/>
      <c r="BV34" s="77"/>
      <c r="BW34" s="77"/>
      <c r="BX34" s="105"/>
      <c r="BY34" s="114"/>
      <c r="BZ34" s="110"/>
      <c r="CA34" s="98"/>
      <c r="CC34" s="77"/>
      <c r="CD34" s="77"/>
      <c r="CE34" s="105"/>
      <c r="CF34" s="114"/>
      <c r="CG34" s="110"/>
      <c r="CH34" s="98"/>
      <c r="CJ34" s="77"/>
      <c r="CK34" s="77"/>
      <c r="CL34" s="105"/>
      <c r="CM34" s="114"/>
      <c r="CN34" s="110"/>
      <c r="CO34" s="98"/>
      <c r="CQ34" s="77"/>
      <c r="CR34" s="77"/>
      <c r="CS34" s="105"/>
      <c r="CT34" s="114"/>
      <c r="CU34" s="110"/>
      <c r="CV34" s="98"/>
      <c r="CX34" s="77"/>
      <c r="CY34" s="77"/>
      <c r="CZ34" s="105"/>
      <c r="DA34" s="114"/>
      <c r="DB34" s="110"/>
      <c r="DC34" s="98"/>
      <c r="DE34" s="77"/>
      <c r="DF34" s="77"/>
      <c r="DG34" s="105"/>
      <c r="DH34" s="114"/>
      <c r="DI34" s="110"/>
      <c r="DJ34" s="98"/>
      <c r="DL34" s="77"/>
      <c r="DM34" s="77"/>
      <c r="DN34" s="105"/>
      <c r="DO34" s="114"/>
      <c r="DP34" s="110"/>
      <c r="DQ34" s="98"/>
      <c r="DS34" s="77"/>
      <c r="DT34" s="77"/>
      <c r="DU34" s="105"/>
      <c r="DV34" s="114"/>
      <c r="DW34" s="110"/>
      <c r="DX34" s="98"/>
      <c r="DZ34" s="77"/>
      <c r="EA34" s="77"/>
      <c r="EB34" s="105"/>
      <c r="EC34" s="114"/>
      <c r="ED34" s="110"/>
      <c r="EE34" s="98"/>
      <c r="EG34" s="77"/>
      <c r="EH34" s="77"/>
      <c r="EI34" s="105"/>
      <c r="EJ34" s="114"/>
      <c r="EK34" s="107"/>
      <c r="EL34" s="98"/>
      <c r="EN34" s="77"/>
      <c r="EO34" s="77"/>
      <c r="EP34" s="105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M34" s="78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9"/>
      <c r="HC34" s="78"/>
      <c r="HD34" s="76"/>
    </row>
    <row r="35" spans="1:212" s="51" customFormat="1" ht="9.75">
      <c r="A35" s="41">
        <v>31</v>
      </c>
      <c r="B35" s="41"/>
      <c r="D35" s="42"/>
      <c r="E35" s="69"/>
      <c r="F35" s="99"/>
      <c r="G35" s="111"/>
      <c r="H35" s="109"/>
      <c r="I35" s="97"/>
      <c r="K35" s="71"/>
      <c r="L35" s="71"/>
      <c r="M35" s="104"/>
      <c r="N35" s="111"/>
      <c r="O35" s="109"/>
      <c r="P35" s="97"/>
      <c r="R35" s="71"/>
      <c r="S35" s="71"/>
      <c r="T35" s="104"/>
      <c r="U35" s="111"/>
      <c r="V35" s="109"/>
      <c r="W35" s="97"/>
      <c r="Y35" s="71"/>
      <c r="Z35" s="71"/>
      <c r="AA35" s="104"/>
      <c r="AB35" s="111"/>
      <c r="AC35" s="109"/>
      <c r="AD35" s="97"/>
      <c r="AF35" s="71"/>
      <c r="AG35" s="71"/>
      <c r="AH35" s="104"/>
      <c r="AI35" s="111"/>
      <c r="AJ35" s="109"/>
      <c r="AK35" s="97"/>
      <c r="AM35" s="71"/>
      <c r="AN35" s="71"/>
      <c r="AO35" s="104"/>
      <c r="AP35" s="111"/>
      <c r="AQ35" s="109"/>
      <c r="AR35" s="97"/>
      <c r="AT35" s="71"/>
      <c r="AU35" s="71"/>
      <c r="AV35" s="104"/>
      <c r="AW35" s="111"/>
      <c r="AX35" s="109"/>
      <c r="AY35" s="97"/>
      <c r="BA35" s="71"/>
      <c r="BB35" s="71"/>
      <c r="BC35" s="104"/>
      <c r="BD35" s="111"/>
      <c r="BE35" s="109"/>
      <c r="BF35" s="97"/>
      <c r="BH35" s="71"/>
      <c r="BI35" s="71"/>
      <c r="BJ35" s="104"/>
      <c r="BK35" s="111"/>
      <c r="BL35" s="109"/>
      <c r="BM35" s="97"/>
      <c r="BO35" s="71"/>
      <c r="BP35" s="71"/>
      <c r="BQ35" s="104"/>
      <c r="BR35" s="111"/>
      <c r="BS35" s="109"/>
      <c r="BT35" s="97"/>
      <c r="BV35" s="71"/>
      <c r="BW35" s="71"/>
      <c r="BX35" s="104"/>
      <c r="BY35" s="111"/>
      <c r="BZ35" s="109"/>
      <c r="CA35" s="97"/>
      <c r="CC35" s="71"/>
      <c r="CD35" s="71"/>
      <c r="CE35" s="104"/>
      <c r="CF35" s="111"/>
      <c r="CG35" s="109"/>
      <c r="CH35" s="97"/>
      <c r="CJ35" s="71"/>
      <c r="CK35" s="71"/>
      <c r="CL35" s="104"/>
      <c r="CM35" s="111"/>
      <c r="CN35" s="109"/>
      <c r="CO35" s="97"/>
      <c r="CQ35" s="71"/>
      <c r="CR35" s="71"/>
      <c r="CS35" s="104"/>
      <c r="CT35" s="111"/>
      <c r="CU35" s="109"/>
      <c r="CV35" s="97"/>
      <c r="CX35" s="71"/>
      <c r="CY35" s="71"/>
      <c r="CZ35" s="104"/>
      <c r="DA35" s="111"/>
      <c r="DB35" s="109"/>
      <c r="DC35" s="97"/>
      <c r="DE35" s="71"/>
      <c r="DF35" s="71"/>
      <c r="DG35" s="104"/>
      <c r="DH35" s="111"/>
      <c r="DI35" s="109"/>
      <c r="DJ35" s="97"/>
      <c r="DL35" s="71"/>
      <c r="DM35" s="71"/>
      <c r="DN35" s="104"/>
      <c r="DO35" s="111"/>
      <c r="DP35" s="109"/>
      <c r="DQ35" s="97"/>
      <c r="DS35" s="71"/>
      <c r="DT35" s="71"/>
      <c r="DU35" s="104"/>
      <c r="DV35" s="111"/>
      <c r="DW35" s="109"/>
      <c r="DX35" s="97"/>
      <c r="DZ35" s="71"/>
      <c r="EA35" s="71"/>
      <c r="EB35" s="104"/>
      <c r="EC35" s="111"/>
      <c r="ED35" s="109"/>
      <c r="EE35" s="97"/>
      <c r="EG35" s="71"/>
      <c r="EH35" s="71"/>
      <c r="EI35" s="104"/>
      <c r="EJ35" s="111"/>
      <c r="EK35" s="106"/>
      <c r="EL35" s="97"/>
      <c r="EN35" s="71"/>
      <c r="EO35" s="71"/>
      <c r="EP35" s="104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M35" s="72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3"/>
      <c r="HC35" s="72"/>
      <c r="HD35" s="70"/>
    </row>
    <row r="36" spans="1:212" s="51" customFormat="1" ht="9.75">
      <c r="A36" s="41">
        <v>32</v>
      </c>
      <c r="B36" s="41"/>
      <c r="D36" s="42"/>
      <c r="E36" s="69"/>
      <c r="F36" s="99"/>
      <c r="G36" s="111"/>
      <c r="H36" s="109"/>
      <c r="I36" s="97"/>
      <c r="K36" s="71"/>
      <c r="L36" s="71"/>
      <c r="M36" s="104"/>
      <c r="N36" s="111"/>
      <c r="O36" s="109"/>
      <c r="P36" s="97"/>
      <c r="R36" s="71"/>
      <c r="S36" s="71"/>
      <c r="T36" s="104"/>
      <c r="U36" s="111"/>
      <c r="V36" s="109"/>
      <c r="W36" s="97"/>
      <c r="Y36" s="71"/>
      <c r="Z36" s="71"/>
      <c r="AA36" s="104"/>
      <c r="AB36" s="111"/>
      <c r="AC36" s="109"/>
      <c r="AD36" s="97"/>
      <c r="AF36" s="71"/>
      <c r="AG36" s="71"/>
      <c r="AH36" s="104"/>
      <c r="AI36" s="111"/>
      <c r="AJ36" s="109"/>
      <c r="AK36" s="97"/>
      <c r="AM36" s="71"/>
      <c r="AN36" s="71"/>
      <c r="AO36" s="104"/>
      <c r="AP36" s="111"/>
      <c r="AQ36" s="109"/>
      <c r="AR36" s="97"/>
      <c r="AT36" s="71"/>
      <c r="AU36" s="71"/>
      <c r="AV36" s="104"/>
      <c r="AW36" s="111"/>
      <c r="AX36" s="109"/>
      <c r="AY36" s="97"/>
      <c r="BA36" s="71"/>
      <c r="BB36" s="71"/>
      <c r="BC36" s="104"/>
      <c r="BD36" s="111"/>
      <c r="BE36" s="109"/>
      <c r="BF36" s="97"/>
      <c r="BH36" s="71"/>
      <c r="BI36" s="71"/>
      <c r="BJ36" s="104"/>
      <c r="BK36" s="111"/>
      <c r="BL36" s="109"/>
      <c r="BM36" s="97"/>
      <c r="BO36" s="71"/>
      <c r="BP36" s="71"/>
      <c r="BQ36" s="104"/>
      <c r="BR36" s="111"/>
      <c r="BS36" s="109"/>
      <c r="BT36" s="97"/>
      <c r="BV36" s="71"/>
      <c r="BW36" s="71"/>
      <c r="BX36" s="104"/>
      <c r="BY36" s="111"/>
      <c r="BZ36" s="109"/>
      <c r="CA36" s="97"/>
      <c r="CC36" s="71"/>
      <c r="CD36" s="71"/>
      <c r="CE36" s="104"/>
      <c r="CF36" s="111"/>
      <c r="CG36" s="109"/>
      <c r="CH36" s="97"/>
      <c r="CJ36" s="71"/>
      <c r="CK36" s="71"/>
      <c r="CL36" s="104"/>
      <c r="CM36" s="111"/>
      <c r="CN36" s="109"/>
      <c r="CO36" s="97"/>
      <c r="CQ36" s="71"/>
      <c r="CR36" s="71"/>
      <c r="CS36" s="104"/>
      <c r="CT36" s="111"/>
      <c r="CU36" s="109"/>
      <c r="CV36" s="97"/>
      <c r="CX36" s="71"/>
      <c r="CY36" s="71"/>
      <c r="CZ36" s="104"/>
      <c r="DA36" s="111"/>
      <c r="DB36" s="109"/>
      <c r="DC36" s="97"/>
      <c r="DE36" s="71"/>
      <c r="DF36" s="71"/>
      <c r="DG36" s="104"/>
      <c r="DH36" s="111"/>
      <c r="DI36" s="109"/>
      <c r="DJ36" s="97"/>
      <c r="DL36" s="71"/>
      <c r="DM36" s="71"/>
      <c r="DN36" s="104"/>
      <c r="DO36" s="111"/>
      <c r="DP36" s="109"/>
      <c r="DQ36" s="97"/>
      <c r="DS36" s="71"/>
      <c r="DT36" s="71"/>
      <c r="DU36" s="104"/>
      <c r="DV36" s="111"/>
      <c r="DW36" s="109"/>
      <c r="DX36" s="97"/>
      <c r="DZ36" s="71"/>
      <c r="EA36" s="71"/>
      <c r="EB36" s="104"/>
      <c r="EC36" s="111"/>
      <c r="ED36" s="109"/>
      <c r="EE36" s="97"/>
      <c r="EG36" s="71"/>
      <c r="EH36" s="71"/>
      <c r="EI36" s="104"/>
      <c r="EJ36" s="111"/>
      <c r="EK36" s="106"/>
      <c r="EL36" s="97"/>
      <c r="EN36" s="71"/>
      <c r="EO36" s="71"/>
      <c r="EP36" s="104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M36" s="72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3"/>
      <c r="HC36" s="72"/>
      <c r="HD36" s="70"/>
    </row>
    <row r="37" spans="1:212" s="51" customFormat="1" ht="9.75">
      <c r="A37" s="41">
        <v>33</v>
      </c>
      <c r="B37" s="41"/>
      <c r="D37" s="42"/>
      <c r="E37" s="69"/>
      <c r="F37" s="99"/>
      <c r="G37" s="111"/>
      <c r="H37" s="109"/>
      <c r="I37" s="97"/>
      <c r="K37" s="71"/>
      <c r="L37" s="71"/>
      <c r="M37" s="104"/>
      <c r="N37" s="111"/>
      <c r="O37" s="109"/>
      <c r="P37" s="97"/>
      <c r="R37" s="71"/>
      <c r="S37" s="71"/>
      <c r="T37" s="104"/>
      <c r="U37" s="111"/>
      <c r="V37" s="109"/>
      <c r="W37" s="97"/>
      <c r="Y37" s="71"/>
      <c r="Z37" s="71"/>
      <c r="AA37" s="104"/>
      <c r="AB37" s="111"/>
      <c r="AC37" s="109"/>
      <c r="AD37" s="97"/>
      <c r="AF37" s="71"/>
      <c r="AG37" s="71"/>
      <c r="AH37" s="104"/>
      <c r="AI37" s="111"/>
      <c r="AJ37" s="109"/>
      <c r="AK37" s="97"/>
      <c r="AM37" s="71"/>
      <c r="AN37" s="71"/>
      <c r="AO37" s="104"/>
      <c r="AP37" s="111"/>
      <c r="AQ37" s="109"/>
      <c r="AR37" s="97"/>
      <c r="AT37" s="71"/>
      <c r="AU37" s="71"/>
      <c r="AV37" s="104"/>
      <c r="AW37" s="111"/>
      <c r="AX37" s="109"/>
      <c r="AY37" s="97"/>
      <c r="BA37" s="71"/>
      <c r="BB37" s="71"/>
      <c r="BC37" s="104"/>
      <c r="BD37" s="111"/>
      <c r="BE37" s="109"/>
      <c r="BF37" s="97"/>
      <c r="BH37" s="71"/>
      <c r="BI37" s="71"/>
      <c r="BJ37" s="104"/>
      <c r="BK37" s="111"/>
      <c r="BL37" s="109"/>
      <c r="BM37" s="97"/>
      <c r="BO37" s="71"/>
      <c r="BP37" s="71"/>
      <c r="BQ37" s="104"/>
      <c r="BR37" s="111"/>
      <c r="BS37" s="109"/>
      <c r="BT37" s="97"/>
      <c r="BV37" s="71"/>
      <c r="BW37" s="71"/>
      <c r="BX37" s="104"/>
      <c r="BY37" s="111"/>
      <c r="BZ37" s="109"/>
      <c r="CA37" s="97"/>
      <c r="CC37" s="71"/>
      <c r="CD37" s="71"/>
      <c r="CE37" s="104"/>
      <c r="CF37" s="111"/>
      <c r="CG37" s="109"/>
      <c r="CH37" s="97"/>
      <c r="CJ37" s="71"/>
      <c r="CK37" s="71"/>
      <c r="CL37" s="104"/>
      <c r="CM37" s="111"/>
      <c r="CN37" s="109"/>
      <c r="CO37" s="97"/>
      <c r="CQ37" s="71"/>
      <c r="CR37" s="71"/>
      <c r="CS37" s="104"/>
      <c r="CT37" s="111"/>
      <c r="CU37" s="109"/>
      <c r="CV37" s="97"/>
      <c r="CX37" s="71"/>
      <c r="CY37" s="71"/>
      <c r="CZ37" s="104"/>
      <c r="DA37" s="111"/>
      <c r="DB37" s="109"/>
      <c r="DC37" s="97"/>
      <c r="DE37" s="71"/>
      <c r="DF37" s="71"/>
      <c r="DG37" s="104"/>
      <c r="DH37" s="111"/>
      <c r="DI37" s="109"/>
      <c r="DJ37" s="97"/>
      <c r="DL37" s="71"/>
      <c r="DM37" s="71"/>
      <c r="DN37" s="104"/>
      <c r="DO37" s="111"/>
      <c r="DP37" s="109"/>
      <c r="DQ37" s="97"/>
      <c r="DS37" s="71"/>
      <c r="DT37" s="71"/>
      <c r="DU37" s="104"/>
      <c r="DV37" s="111"/>
      <c r="DW37" s="109"/>
      <c r="DX37" s="97"/>
      <c r="DZ37" s="71"/>
      <c r="EA37" s="71"/>
      <c r="EB37" s="104"/>
      <c r="EC37" s="111"/>
      <c r="ED37" s="109"/>
      <c r="EE37" s="97"/>
      <c r="EG37" s="71"/>
      <c r="EH37" s="71"/>
      <c r="EI37" s="104"/>
      <c r="EJ37" s="111"/>
      <c r="EK37" s="106"/>
      <c r="EL37" s="97"/>
      <c r="EN37" s="71"/>
      <c r="EO37" s="71"/>
      <c r="EP37" s="104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M37" s="72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3"/>
      <c r="HC37" s="72"/>
      <c r="HD37" s="70"/>
    </row>
    <row r="38" spans="1:212" s="74" customFormat="1" ht="9.75">
      <c r="A38" s="39">
        <v>34</v>
      </c>
      <c r="B38" s="39"/>
      <c r="D38" s="40"/>
      <c r="E38" s="75"/>
      <c r="F38" s="100"/>
      <c r="G38" s="114"/>
      <c r="H38" s="110"/>
      <c r="I38" s="98"/>
      <c r="K38" s="77"/>
      <c r="L38" s="77"/>
      <c r="M38" s="105"/>
      <c r="N38" s="114"/>
      <c r="O38" s="110"/>
      <c r="P38" s="98"/>
      <c r="R38" s="77"/>
      <c r="S38" s="77"/>
      <c r="T38" s="105"/>
      <c r="U38" s="114"/>
      <c r="V38" s="110"/>
      <c r="W38" s="98"/>
      <c r="Y38" s="77"/>
      <c r="Z38" s="77"/>
      <c r="AA38" s="105"/>
      <c r="AB38" s="114"/>
      <c r="AC38" s="110"/>
      <c r="AD38" s="98"/>
      <c r="AF38" s="77"/>
      <c r="AG38" s="77"/>
      <c r="AH38" s="105"/>
      <c r="AI38" s="114"/>
      <c r="AJ38" s="110"/>
      <c r="AK38" s="98"/>
      <c r="AM38" s="77"/>
      <c r="AN38" s="77"/>
      <c r="AO38" s="105"/>
      <c r="AP38" s="114"/>
      <c r="AQ38" s="110"/>
      <c r="AR38" s="98"/>
      <c r="AT38" s="77"/>
      <c r="AU38" s="77"/>
      <c r="AV38" s="105"/>
      <c r="AW38" s="114"/>
      <c r="AX38" s="110"/>
      <c r="AY38" s="98"/>
      <c r="BA38" s="77"/>
      <c r="BB38" s="77"/>
      <c r="BC38" s="105"/>
      <c r="BD38" s="114"/>
      <c r="BE38" s="110"/>
      <c r="BF38" s="98"/>
      <c r="BH38" s="77"/>
      <c r="BI38" s="77"/>
      <c r="BJ38" s="105"/>
      <c r="BK38" s="114"/>
      <c r="BL38" s="110"/>
      <c r="BM38" s="98"/>
      <c r="BO38" s="77"/>
      <c r="BP38" s="77"/>
      <c r="BQ38" s="105"/>
      <c r="BR38" s="114"/>
      <c r="BS38" s="110"/>
      <c r="BT38" s="98"/>
      <c r="BV38" s="77"/>
      <c r="BW38" s="77"/>
      <c r="BX38" s="105"/>
      <c r="BY38" s="114"/>
      <c r="BZ38" s="110"/>
      <c r="CA38" s="98"/>
      <c r="CC38" s="77"/>
      <c r="CD38" s="77"/>
      <c r="CE38" s="105"/>
      <c r="CF38" s="114"/>
      <c r="CG38" s="110"/>
      <c r="CH38" s="98"/>
      <c r="CJ38" s="77"/>
      <c r="CK38" s="77"/>
      <c r="CL38" s="105"/>
      <c r="CM38" s="114"/>
      <c r="CN38" s="110"/>
      <c r="CO38" s="98"/>
      <c r="CQ38" s="77"/>
      <c r="CR38" s="77"/>
      <c r="CS38" s="105"/>
      <c r="CT38" s="114"/>
      <c r="CU38" s="110"/>
      <c r="CV38" s="98"/>
      <c r="CX38" s="77"/>
      <c r="CY38" s="77"/>
      <c r="CZ38" s="105"/>
      <c r="DA38" s="114"/>
      <c r="DB38" s="110"/>
      <c r="DC38" s="98"/>
      <c r="DE38" s="77"/>
      <c r="DF38" s="77"/>
      <c r="DG38" s="105"/>
      <c r="DH38" s="114"/>
      <c r="DI38" s="110"/>
      <c r="DJ38" s="98"/>
      <c r="DL38" s="77"/>
      <c r="DM38" s="77"/>
      <c r="DN38" s="105"/>
      <c r="DO38" s="114"/>
      <c r="DP38" s="110"/>
      <c r="DQ38" s="98"/>
      <c r="DS38" s="77"/>
      <c r="DT38" s="77"/>
      <c r="DU38" s="105"/>
      <c r="DV38" s="114"/>
      <c r="DW38" s="110"/>
      <c r="DX38" s="98"/>
      <c r="DZ38" s="77"/>
      <c r="EA38" s="77"/>
      <c r="EB38" s="105"/>
      <c r="EC38" s="114"/>
      <c r="ED38" s="110"/>
      <c r="EE38" s="98"/>
      <c r="EG38" s="77"/>
      <c r="EH38" s="77"/>
      <c r="EI38" s="105"/>
      <c r="EJ38" s="114"/>
      <c r="EK38" s="107"/>
      <c r="EL38" s="98"/>
      <c r="EN38" s="77"/>
      <c r="EO38" s="77"/>
      <c r="EP38" s="105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M38" s="78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9"/>
      <c r="HC38" s="78"/>
      <c r="HD38" s="76"/>
    </row>
    <row r="39" spans="1:212" s="74" customFormat="1" ht="9.75">
      <c r="A39" s="39">
        <v>35</v>
      </c>
      <c r="B39" s="39"/>
      <c r="D39" s="40"/>
      <c r="E39" s="75"/>
      <c r="F39" s="100"/>
      <c r="G39" s="114"/>
      <c r="H39" s="110"/>
      <c r="I39" s="98"/>
      <c r="K39" s="77"/>
      <c r="L39" s="77"/>
      <c r="M39" s="105"/>
      <c r="N39" s="114"/>
      <c r="O39" s="110"/>
      <c r="P39" s="98"/>
      <c r="R39" s="77"/>
      <c r="S39" s="77"/>
      <c r="T39" s="105"/>
      <c r="U39" s="114"/>
      <c r="V39" s="110"/>
      <c r="W39" s="98"/>
      <c r="Y39" s="77"/>
      <c r="Z39" s="77"/>
      <c r="AA39" s="105"/>
      <c r="AB39" s="114"/>
      <c r="AC39" s="110"/>
      <c r="AD39" s="98"/>
      <c r="AF39" s="77"/>
      <c r="AG39" s="77"/>
      <c r="AH39" s="105"/>
      <c r="AI39" s="114"/>
      <c r="AJ39" s="110"/>
      <c r="AK39" s="98"/>
      <c r="AM39" s="77"/>
      <c r="AN39" s="77"/>
      <c r="AO39" s="105"/>
      <c r="AP39" s="114"/>
      <c r="AQ39" s="110"/>
      <c r="AR39" s="98"/>
      <c r="AT39" s="77"/>
      <c r="AU39" s="77"/>
      <c r="AV39" s="105"/>
      <c r="AW39" s="114"/>
      <c r="AX39" s="110"/>
      <c r="AY39" s="98"/>
      <c r="BA39" s="77"/>
      <c r="BB39" s="77"/>
      <c r="BC39" s="105"/>
      <c r="BD39" s="114"/>
      <c r="BE39" s="110"/>
      <c r="BF39" s="98"/>
      <c r="BH39" s="77"/>
      <c r="BI39" s="77"/>
      <c r="BJ39" s="105"/>
      <c r="BK39" s="114"/>
      <c r="BL39" s="110"/>
      <c r="BM39" s="98"/>
      <c r="BO39" s="77"/>
      <c r="BP39" s="77"/>
      <c r="BQ39" s="105"/>
      <c r="BR39" s="114"/>
      <c r="BS39" s="110"/>
      <c r="BT39" s="98"/>
      <c r="BV39" s="77"/>
      <c r="BW39" s="77"/>
      <c r="BX39" s="105"/>
      <c r="BY39" s="114"/>
      <c r="BZ39" s="110"/>
      <c r="CA39" s="98"/>
      <c r="CC39" s="77"/>
      <c r="CD39" s="77"/>
      <c r="CE39" s="105"/>
      <c r="CF39" s="114"/>
      <c r="CG39" s="110"/>
      <c r="CH39" s="98"/>
      <c r="CJ39" s="77"/>
      <c r="CK39" s="77"/>
      <c r="CL39" s="105"/>
      <c r="CM39" s="114"/>
      <c r="CN39" s="110"/>
      <c r="CO39" s="98"/>
      <c r="CQ39" s="77"/>
      <c r="CR39" s="77"/>
      <c r="CS39" s="105"/>
      <c r="CT39" s="114"/>
      <c r="CU39" s="110"/>
      <c r="CV39" s="98"/>
      <c r="CX39" s="77"/>
      <c r="CY39" s="77"/>
      <c r="CZ39" s="105"/>
      <c r="DA39" s="114"/>
      <c r="DB39" s="110"/>
      <c r="DC39" s="98"/>
      <c r="DE39" s="77"/>
      <c r="DF39" s="77"/>
      <c r="DG39" s="105"/>
      <c r="DH39" s="114"/>
      <c r="DI39" s="110"/>
      <c r="DJ39" s="98"/>
      <c r="DL39" s="77"/>
      <c r="DM39" s="77"/>
      <c r="DN39" s="105"/>
      <c r="DO39" s="114"/>
      <c r="DP39" s="110"/>
      <c r="DQ39" s="98"/>
      <c r="DS39" s="77"/>
      <c r="DT39" s="77"/>
      <c r="DU39" s="105"/>
      <c r="DV39" s="114"/>
      <c r="DW39" s="110"/>
      <c r="DX39" s="98"/>
      <c r="DZ39" s="77"/>
      <c r="EA39" s="77"/>
      <c r="EB39" s="105"/>
      <c r="EC39" s="114"/>
      <c r="ED39" s="110"/>
      <c r="EE39" s="98"/>
      <c r="EG39" s="77"/>
      <c r="EH39" s="77"/>
      <c r="EI39" s="105"/>
      <c r="EJ39" s="114"/>
      <c r="EK39" s="107"/>
      <c r="EL39" s="98"/>
      <c r="EN39" s="77"/>
      <c r="EO39" s="77"/>
      <c r="EP39" s="105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M39" s="78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9"/>
      <c r="HC39" s="78"/>
      <c r="HD39" s="76"/>
    </row>
    <row r="40" spans="1:211" s="82" customFormat="1" ht="12.75">
      <c r="A40" s="80"/>
      <c r="B40" s="80"/>
      <c r="C40" s="81"/>
      <c r="D40" s="80"/>
      <c r="E40" s="80"/>
      <c r="G40" s="83"/>
      <c r="I40" s="84"/>
      <c r="L40" s="84"/>
      <c r="N40" s="85"/>
      <c r="U40" s="86"/>
      <c r="V40" s="88"/>
      <c r="W40" s="84"/>
      <c r="AB40" s="85"/>
      <c r="AC40" s="88"/>
      <c r="AI40" s="85"/>
      <c r="AP40" s="85"/>
      <c r="AW40" s="85"/>
      <c r="BD40" s="85"/>
      <c r="BK40" s="85"/>
      <c r="BR40" s="85"/>
      <c r="BY40" s="85"/>
      <c r="CF40" s="85"/>
      <c r="CM40" s="85"/>
      <c r="CT40" s="85"/>
      <c r="DA40" s="85"/>
      <c r="DH40" s="85"/>
      <c r="DO40" s="85"/>
      <c r="DV40" s="85"/>
      <c r="EC40" s="85"/>
      <c r="EJ40" s="85"/>
      <c r="HB40" s="87"/>
      <c r="HC40" s="88"/>
    </row>
    <row r="41" spans="1:211" s="54" customFormat="1" ht="9.75">
      <c r="A41" s="129" t="s">
        <v>180</v>
      </c>
      <c r="B41" s="130"/>
      <c r="C41" s="130"/>
      <c r="D41" s="130"/>
      <c r="E41" s="130"/>
      <c r="F41" s="131"/>
      <c r="G41" s="117">
        <f>IF(NumberOfRoundsFlown(Rawdata)&gt;0,MAX(G5:G39),"")</f>
        <v>87.28</v>
      </c>
      <c r="I41" s="118"/>
      <c r="L41" s="118"/>
      <c r="N41" s="119">
        <f>IF(NumberOfRoundsFlown(Rawdata)&gt;1,MAX(N5:N39),"")</f>
        <v>66.52</v>
      </c>
      <c r="U41" s="119">
        <f>IF(NumberOfRoundsFlown(Rawdata)&gt;2,MAX(U5:U39),"")</f>
        <v>83.56</v>
      </c>
      <c r="V41" s="57"/>
      <c r="W41" s="118"/>
      <c r="AB41" s="119">
        <f>IF(NumberOfRoundsFlown(Rawdata)&gt;3,MAX(AB5:AB39),"")</f>
        <v>83.02</v>
      </c>
      <c r="AC41" s="57"/>
      <c r="AI41" s="119">
        <f>IF(NumberOfRoundsFlown(Rawdata)&gt;4,MAX(AI5:AI39),"")</f>
        <v>69.35</v>
      </c>
      <c r="AP41" s="119">
        <f>IF(NumberOfRoundsFlown(Rawdata)&gt;5,MAX(AP5:AP39),"")</f>
        <v>72</v>
      </c>
      <c r="AW41" s="119">
        <f>IF(NumberOfRoundsFlown(Rawdata)&gt;6,MAX(AW5:AW39),"")</f>
        <v>72.91</v>
      </c>
      <c r="BD41" s="119">
        <f>IF(NumberOfRoundsFlown(Rawdata)&gt;7,MAX(BD5:BD39),"")</f>
        <v>67.31</v>
      </c>
      <c r="BK41" s="119">
        <f>IF(NumberOfRoundsFlown(Rawdata)&gt;8,MAX(BK5:BK39),"")</f>
      </c>
      <c r="BR41" s="119">
        <f>IF(NumberOfRoundsFlown(Rawdata)&gt;9,MAX(BR5:BR39),"")</f>
      </c>
      <c r="BY41" s="119">
        <f>IF(NumberOfRoundsFlown(Rawdata)&gt;10,MAX(BY5:BY39),"")</f>
      </c>
      <c r="CF41" s="119">
        <f>IF(NumberOfRoundsFlown(Rawdata)&gt;11,MAX(CF5:CF39),"")</f>
      </c>
      <c r="CM41" s="119">
        <f>IF(NumberOfRoundsFlown(Rawdata)&gt;12,MAX(CM5:CM39),"")</f>
      </c>
      <c r="CT41" s="119">
        <f>IF(NumberOfRoundsFlown(Rawdata)&gt;13,MAX(CT5:CT39),"")</f>
      </c>
      <c r="DA41" s="119">
        <f>IF(NumberOfRoundsFlown(Rawdata)&gt;14,MAX(DA5:DA39),"")</f>
      </c>
      <c r="DH41" s="119">
        <f>IF(NumberOfRoundsFlown(Rawdata)&gt;15,MAX(DH5:DH39),"")</f>
      </c>
      <c r="DO41" s="119">
        <f>IF(NumberOfRoundsFlown(Rawdata)&gt;16,MAX(DO5:DO39),"")</f>
      </c>
      <c r="DV41" s="119">
        <f>IF(NumberOfRoundsFlown(Rawdata)&gt;17,MAX(DV5:DV39),"")</f>
      </c>
      <c r="EC41" s="119">
        <f>IF(NumberOfRoundsFlown(Rawdata)&gt;18,MAX(EC5:EC39),"")</f>
      </c>
      <c r="EJ41" s="119">
        <f>IF(NumberOfRoundsFlown(Rawdata)&gt;19,MAX(EJ5:EJ39),"")</f>
      </c>
      <c r="HB41" s="117">
        <f>IF(NumberOfRoundsFlown(Rawdata)&gt;0,MAX(G41,N41,U41,AB41,AI41,AP41,AW41,BD41,BK41,BR41,BY41,CF41,CM41,CT41,DA41,DH41,DO41,DV41,EC41,EJ41),"")</f>
        <v>87.28</v>
      </c>
      <c r="HC41" s="57"/>
    </row>
    <row r="42" spans="1:211" s="54" customFormat="1" ht="12.75">
      <c r="A42" s="129" t="s">
        <v>181</v>
      </c>
      <c r="B42" s="132"/>
      <c r="C42" s="132"/>
      <c r="D42" s="132"/>
      <c r="E42" s="132"/>
      <c r="F42" s="133"/>
      <c r="G42" s="117">
        <f>IF(NumberOfRoundsFlown(Rawdata)&gt;0,G1,"")</f>
        <v>61.73</v>
      </c>
      <c r="I42" s="118"/>
      <c r="L42" s="118"/>
      <c r="N42" s="119">
        <f>IF(NumberOfRoundsFlown(Rawdata)&gt;1,N1,"")</f>
        <v>48.02</v>
      </c>
      <c r="U42" s="119">
        <f>IF(NumberOfRoundsFlown(Rawdata)&gt;2,U1,"")</f>
        <v>61.4</v>
      </c>
      <c r="V42" s="57"/>
      <c r="W42" s="118"/>
      <c r="AB42" s="119">
        <f>IF(NumberOfRoundsFlown(Rawdata)&gt;3,AB1,"")</f>
        <v>58.28</v>
      </c>
      <c r="AC42" s="57"/>
      <c r="AI42" s="119">
        <f>IF(NumberOfRoundsFlown(Rawdata)&gt;4,AI1,"")</f>
        <v>54.98</v>
      </c>
      <c r="AP42" s="119">
        <f>IF(NumberOfRoundsFlown(Rawdata)&gt;5,AP1,"")</f>
        <v>61.69</v>
      </c>
      <c r="AW42" s="119">
        <f>IF(NumberOfRoundsFlown(Rawdata)&gt;6,AW1,"")</f>
        <v>54.65</v>
      </c>
      <c r="BD42" s="119">
        <f>IF(NumberOfRoundsFlown(Rawdata)&gt;7,BD1,"")</f>
        <v>60.5</v>
      </c>
      <c r="BK42" s="119">
        <f>IF(NumberOfRoundsFlown(Rawdata)&gt;8,BK1,"")</f>
      </c>
      <c r="BR42" s="119">
        <f>IF(NumberOfRoundsFlown(Rawdata)&gt;9,BR1,"")</f>
      </c>
      <c r="BY42" s="119">
        <f>IF(NumberOfRoundsFlown(Rawdata)&gt;10,BY1,"")</f>
      </c>
      <c r="CF42" s="119">
        <f>IF(NumberOfRoundsFlown(Rawdata)&gt;11,CF1,"")</f>
      </c>
      <c r="CM42" s="119">
        <f>IF(NumberOfRoundsFlown(Rawdata)&gt;12,CM1,"")</f>
      </c>
      <c r="CT42" s="119">
        <f>IF(NumberOfRoundsFlown(Rawdata)&gt;13,CT1,"")</f>
      </c>
      <c r="DA42" s="119">
        <f>IF(NumberOfRoundsFlown(Rawdata)&gt;14,DA1,"")</f>
      </c>
      <c r="DH42" s="119">
        <f>IF(NumberOfRoundsFlown(Rawdata)&gt;15,DH1,"")</f>
      </c>
      <c r="DO42" s="119">
        <f>IF(NumberOfRoundsFlown(Rawdata)&gt;16,DO1,"")</f>
      </c>
      <c r="DV42" s="119">
        <f>IF(NumberOfRoundsFlown(Rawdata)&gt;17,DV1,"")</f>
      </c>
      <c r="EC42" s="119">
        <f>IF(NumberOfRoundsFlown(Rawdata)&gt;18,EC1,"")</f>
      </c>
      <c r="EJ42" s="119">
        <f>IF(NumberOfRoundsFlown(Rawdata)&gt;19,EJ1,"")</f>
      </c>
      <c r="HB42" s="117">
        <f>IF(NumberOfRoundsFlown(Rawdata)&gt;0,MIN(G42,N42,U42,AB42,AI42,AP42,AW42,BD42,BK42,BR42,BY42,CF42,CM42,CT42,DA42,DH42,DO42,DV42,EC42,EJ42),"")</f>
        <v>48.02</v>
      </c>
      <c r="HC42" s="57"/>
    </row>
    <row r="43" spans="1:211" s="54" customFormat="1" ht="12.75">
      <c r="A43" s="129" t="s">
        <v>179</v>
      </c>
      <c r="B43" s="132"/>
      <c r="C43" s="132"/>
      <c r="D43" s="132"/>
      <c r="E43" s="132"/>
      <c r="F43" s="133"/>
      <c r="G43" s="117">
        <f>IF(NumberOfRoundsFlown(Rawdata)&gt;0,SUM(G5:G39)/COUNTIF(G5:G39,"&gt;0"),"")</f>
        <v>70.48666666666666</v>
      </c>
      <c r="I43" s="118"/>
      <c r="L43" s="118"/>
      <c r="N43" s="119">
        <f>IF(NumberOfRoundsFlown(Rawdata)&gt;1,SUM(N5:N39)/COUNTIF(N5:N39,"&gt;0"),"")</f>
        <v>59.29333333333333</v>
      </c>
      <c r="S43" s="120"/>
      <c r="U43" s="119">
        <f>IF(NumberOfRoundsFlown(Rawdata)&gt;2,SUM(U5:U39)/COUNTIF(U5:U39,"&gt;0"),"")</f>
        <v>69.78666666666668</v>
      </c>
      <c r="V43" s="57"/>
      <c r="W43" s="118"/>
      <c r="AB43" s="119">
        <f>IF(NumberOfRoundsFlown(Rawdata)&gt;3,SUM(AB5:AB39)/COUNTIF(AB5:AB39,"&gt;0"),"")</f>
        <v>65.43166666666667</v>
      </c>
      <c r="AC43" s="57"/>
      <c r="AI43" s="119">
        <f>IF(NumberOfRoundsFlown(Rawdata)&gt;5,SUM(AI5:AI39)/COUNTIF(AI5:AI39,"&gt;0"),"")</f>
        <v>61.228333333333325</v>
      </c>
      <c r="AP43" s="119">
        <f>IF(NumberOfRoundsFlown(Rawdata)&gt;5,SUM(AP5:AP39)/COUNTIF(AP5:AP39,"&gt;0"),"")</f>
        <v>65.92999999999999</v>
      </c>
      <c r="AW43" s="119">
        <f>IF(NumberOfRoundsFlown(Rawdata)&gt;6,SUM(AW5:AW39)/COUNTIF(AW5:AW39,"&gt;0"),"")</f>
        <v>61.226</v>
      </c>
      <c r="BD43" s="119">
        <f>IF(NumberOfRoundsFlown(Rawdata)&gt;7,SUM(BD5:BD39)/COUNTIF(BD5:BD39,"&gt;0"),"")</f>
        <v>64.705</v>
      </c>
      <c r="BK43" s="119">
        <f>IF(NumberOfRoundsFlown(Rawdata)&gt;8,SUM(BK5:BK39)/COUNTIF(BK5:BK39,"&gt;0"),"")</f>
      </c>
      <c r="BR43" s="119">
        <f>IF(NumberOfRoundsFlown(Rawdata)&gt;9,SUM(BR5:BR39)/COUNTIF(BR5:BR39,"&gt;0"),"")</f>
      </c>
      <c r="BY43" s="119">
        <f>IF(NumberOfRoundsFlown(Rawdata)&gt;10,SUM(BY5:BY39)/COUNTIF(BY5:BY39,"&gt;0"),"")</f>
      </c>
      <c r="CF43" s="119">
        <f>IF(NumberOfRoundsFlown(Rawdata)&gt;11,SUM(CF5:CF39)/COUNTIF(CF5:CF39,"&gt;0"),"")</f>
      </c>
      <c r="CM43" s="119">
        <f>IF(NumberOfRoundsFlown(Rawdata)&gt;12,SUM(CM5:CM39)/COUNTIF(CM5:CM39,"&gt;0"),"")</f>
      </c>
      <c r="CT43" s="119">
        <f>IF(NumberOfRoundsFlown(Rawdata)&gt;13,SUM(CT5:CT39)/COUNTIF(CT5:CT39,"&gt;0"),"")</f>
      </c>
      <c r="DA43" s="119">
        <f>IF(NumberOfRoundsFlown(Rawdata)&gt;14,SUM(DA5:DA39)/COUNTIF(DA5:DA39,"&gt;0"),"")</f>
      </c>
      <c r="DH43" s="119">
        <f>IF(NumberOfRoundsFlown(Rawdata)&gt;15,SUM(DH5:DH39)/COUNTIF(DH5:DH39,"&gt;0"),"")</f>
      </c>
      <c r="DO43" s="119">
        <f>IF(NumberOfRoundsFlown(Rawdata)&gt;16,SUM(DO5:DO39)/COUNTIF(DO5:DO39,"&gt;0"),"")</f>
      </c>
      <c r="DV43" s="119">
        <f>IF(NumberOfRoundsFlown(Rawdata)&gt;17,SUM(DV5:DV39)/COUNTIF(DV5:DV39,"&gt;0"),"")</f>
      </c>
      <c r="EC43" s="119">
        <f>IF(NumberOfRoundsFlown(Rawdata)&gt;18,SUM(EC5:EC39)/COUNTIF(EC5:EC39,"&gt;0"),"")</f>
      </c>
      <c r="EJ43" s="119">
        <f>IF(NumberOfRoundsFlown(Rawdata)&gt;19,SUM(EJ5:EJ39)/COUNTIF(EJ5:EJ39,"&gt;0"),"")</f>
      </c>
      <c r="HB43" s="117">
        <f>IF(NumberOfRoundsFlown(Rawdata)&gt;0,SUM(G43,N43,U43,AB43,AI43,AP43,AW43,BD43,BK43,BR43,BY43,CF43,CM43,CT43,DA43,DH43,DO43,DV43,EC43,EJ43)/COUNTIF(G43:EJ43,"&gt;0"),"")</f>
        <v>64.76095833333333</v>
      </c>
      <c r="HC43" s="57"/>
    </row>
  </sheetData>
  <sheetProtection password="BBB3" sheet="1" objects="1" scenarios="1"/>
  <mergeCells count="44">
    <mergeCell ref="A41:F41"/>
    <mergeCell ref="A42:F42"/>
    <mergeCell ref="A43:F43"/>
    <mergeCell ref="EC2:EI2"/>
    <mergeCell ref="EC3:EI3"/>
    <mergeCell ref="AP3:AV3"/>
    <mergeCell ref="AW3:BC3"/>
    <mergeCell ref="BD3:BJ3"/>
    <mergeCell ref="CT3:CZ3"/>
    <mergeCell ref="BK3:BQ3"/>
    <mergeCell ref="EJ2:EP2"/>
    <mergeCell ref="EJ3:EP3"/>
    <mergeCell ref="DO2:DU2"/>
    <mergeCell ref="DO3:DU3"/>
    <mergeCell ref="DV2:EB2"/>
    <mergeCell ref="DV3:EB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BR3:BX3"/>
    <mergeCell ref="BY3:CE3"/>
    <mergeCell ref="CF3:CL3"/>
    <mergeCell ref="CM3:CS3"/>
    <mergeCell ref="AW2:BC2"/>
    <mergeCell ref="BD2:BJ2"/>
    <mergeCell ref="BK2:BQ2"/>
    <mergeCell ref="CT2:CZ2"/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</mergeCells>
  <conditionalFormatting sqref="HC5:HC39 B5:E5 E6:E39 C6:C3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99-COUNTIF(Results!B5:B39,"")</f>
        <v>70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MATCH(ROW()-1,Results!E$5:E$39,0)</f>
        <v>1</v>
      </c>
      <c r="B2" s="37">
        <f ca="1">IF(ISNA(A2),"",INDIRECT("Results!R"&amp;4+A2&amp;"C5",FALSE))</f>
        <v>1</v>
      </c>
      <c r="C2" s="37" t="str">
        <f ca="1">IF(ISNA(A2),"",INDIRECT("Results!R"&amp;4+A2&amp;"C2",FALSE))</f>
        <v>Rich Bago</v>
      </c>
      <c r="D2" s="38">
        <f ca="1">IF(ISNA(A2),"",INDIRECT("Results!R"&amp;4+A2&amp;"C4",FALSE))</f>
        <v>6872.21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IF(ISNA(MATCH(ROW()-1,Results!E$5:E$39,0)),MATCH(D2,OFFSET(Results!D$5:D$39,'Leader Board'!A2,0,$A$1),0)+A2,MATCH(ROW()-1,Results!E$5:E$39,0))</f>
        <v>5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Steve Haley</v>
      </c>
      <c r="D3" s="40">
        <f aca="true" ca="1" t="shared" si="2" ref="D3:D66">IF(ISNA(A3),"",INDIRECT("Results!R"&amp;4+A3&amp;"C4",FALSE))</f>
        <v>6802.11</v>
      </c>
      <c r="E3" s="38">
        <f>IF(OR(ISNA(A3),$D$2=0),"",IF(Title!$K$1=0,ROUNDDOWN((D3/D$2)*1000,2),ROUND((D3/D$2)*1000,2)))</f>
        <v>989.79</v>
      </c>
    </row>
    <row r="4" spans="1:5" ht="12.75">
      <c r="A4" s="46">
        <f ca="1">IF(ISNA(MATCH(ROW()-1,Results!E$5:E$39,0)),MATCH(D3,OFFSET(Results!D$5:D$39,'Leader Board'!A3,0,$A$1),0)+A3,MATCH(ROW()-1,Results!E$5:E$39,0))</f>
        <v>4</v>
      </c>
      <c r="B4" s="39">
        <f ca="1" t="shared" si="0"/>
        <v>3</v>
      </c>
      <c r="C4" s="39" t="str">
        <f ca="1" t="shared" si="1"/>
        <v>Peter Gunning</v>
      </c>
      <c r="D4" s="40">
        <f ca="1" t="shared" si="2"/>
        <v>6729.48</v>
      </c>
      <c r="E4" s="38">
        <f>IF(OR(ISNA(A4),$D$2=0),"",IF(Title!$K$1=0,ROUNDDOWN((D4/D$2)*1000,2),ROUND((D4/D$2)*1000,2)))</f>
        <v>979.23</v>
      </c>
    </row>
    <row r="5" spans="1:5" ht="12.75">
      <c r="A5" s="46">
        <f ca="1">IF(ISNA(MATCH(ROW()-1,Results!E$5:E$39,0)),MATCH(D4,OFFSET(Results!D$5:D$39,'Leader Board'!A4,0,$A$1),0)+A4,MATCH(ROW()-1,Results!E$5:E$39,0))</f>
        <v>6</v>
      </c>
      <c r="B5" s="41">
        <f ca="1" t="shared" si="0"/>
        <v>4</v>
      </c>
      <c r="C5" s="41" t="str">
        <f ca="1" t="shared" si="1"/>
        <v>Mark Treble</v>
      </c>
      <c r="D5" s="42">
        <f ca="1" t="shared" si="2"/>
        <v>6303.95</v>
      </c>
      <c r="E5" s="96">
        <f>IF(OR(ISNA(A5),$D$2=0),"",IF(Title!$K$1=0,ROUNDDOWN((D5/D$2)*1000,2),ROUND((D5/D$2)*1000,2)))</f>
        <v>917.31</v>
      </c>
    </row>
    <row r="6" spans="1:5" ht="12.75">
      <c r="A6" s="46">
        <f ca="1">IF(ISNA(MATCH(ROW()-1,Results!E$5:E$39,0)),MATCH(D5,OFFSET(Results!D$5:D$39,'Leader Board'!A5,0,$A$1),0)+A5,MATCH(ROW()-1,Results!E$5:E$39,0))</f>
        <v>3</v>
      </c>
      <c r="B6" s="41">
        <f ca="1" t="shared" si="0"/>
        <v>5</v>
      </c>
      <c r="C6" s="41" t="str">
        <f ca="1" t="shared" si="1"/>
        <v>Jon Edison</v>
      </c>
      <c r="D6" s="42">
        <f ca="1" t="shared" si="2"/>
        <v>5899.13</v>
      </c>
      <c r="E6" s="96">
        <f>IF(OR(ISNA(A6),$D$2=0),"",IF(Title!$K$1=0,ROUNDDOWN((D6/D$2)*1000,2),ROUND((D6/D$2)*1000,2)))</f>
        <v>858.4</v>
      </c>
    </row>
    <row r="7" spans="1:5" ht="12.75">
      <c r="A7" s="46">
        <f ca="1">IF(ISNA(MATCH(ROW()-1,Results!E$5:E$39,0)),MATCH(D6,OFFSET(Results!D$5:D$39,'Leader Board'!A6,0,$A$1),0)+A6,MATCH(ROW()-1,Results!E$5:E$39,0))</f>
        <v>2</v>
      </c>
      <c r="B7" s="41">
        <f ca="1" t="shared" si="0"/>
        <v>6</v>
      </c>
      <c r="C7" s="41" t="str">
        <f ca="1" t="shared" si="1"/>
        <v>Bob Dickenson</v>
      </c>
      <c r="D7" s="42">
        <f ca="1" t="shared" si="2"/>
        <v>3689.97</v>
      </c>
      <c r="E7" s="96">
        <f>IF(OR(ISNA(A7),$D$2=0),"",IF(Title!$K$1=0,ROUNDDOWN((D7/D$2)*1000,2),ROUND((D7/D$2)*1000,2)))</f>
        <v>536.94</v>
      </c>
    </row>
    <row r="8" spans="1:5" ht="12.75">
      <c r="A8" s="46" t="e">
        <f ca="1">IF(ISNA(MATCH(ROW()-1,Results!E$5:E$39,0)),MATCH(D7,OFFSET(Results!D$5:D$39,'Leader Board'!A7,0,$A$1),0)+A7,MATCH(ROW()-1,Results!E$5:E$39,0))</f>
        <v>#N/A</v>
      </c>
      <c r="B8" s="39">
        <f ca="1" t="shared" si="0"/>
      </c>
      <c r="C8" s="39">
        <f ca="1" t="shared" si="1"/>
      </c>
      <c r="D8" s="40">
        <f ca="1" t="shared" si="2"/>
      </c>
      <c r="E8" s="38">
        <f>IF(OR(ISNA(A8),$D$2=0),"",IF(Title!$K$1=0,ROUNDDOWN((D8/D$2)*1000,2),ROUND((D8/D$2)*1000,2)))</f>
      </c>
    </row>
    <row r="9" spans="1:5" ht="12.75">
      <c r="A9" s="46" t="e">
        <f ca="1">IF(ISNA(MATCH(ROW()-1,Results!E$5:E$39,0)),MATCH(D8,OFFSET(Results!D$5:D$39,'Leader Board'!A8,0,$A$1),0)+A8,MATCH(ROW()-1,Results!E$5:E$39,0))</f>
        <v>#N/A</v>
      </c>
      <c r="B9" s="39">
        <f ca="1" t="shared" si="0"/>
      </c>
      <c r="C9" s="39">
        <f ca="1" t="shared" si="1"/>
      </c>
      <c r="D9" s="40">
        <f ca="1" t="shared" si="2"/>
      </c>
      <c r="E9" s="38">
        <f>IF(OR(ISNA(A9),$D$2=0),"",IF(Title!$K$1=0,ROUNDDOWN((D9/D$2)*1000,2),ROUND((D9/D$2)*1000,2)))</f>
      </c>
    </row>
    <row r="10" spans="1:5" ht="12.75">
      <c r="A10" s="46" t="e">
        <f ca="1">IF(ISNA(MATCH(ROW()-1,Results!E$5:E$39,0)),MATCH(D9,OFFSET(Results!D$5:D$39,'Leader Board'!A9,0,$A$1),0)+A9,MATCH(ROW()-1,Results!E$5:E$39,0))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IF(ISNA(MATCH(ROW()-1,Results!E$5:E$39,0)),MATCH(D10,OFFSET(Results!D$5:D$39,'Leader Board'!A10,0,$A$1),0)+A10,MATCH(ROW()-1,Results!E$5:E$39,0))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 t="e">
        <f ca="1">IF(ISNA(MATCH(ROW()-1,Results!E$5:E$39,0)),MATCH(D11,OFFSET(Results!D$5:D$39,'Leader Board'!A11,0,$A$1),0)+A11,MATCH(ROW()-1,Results!E$5:E$39,0))</f>
        <v>#N/A</v>
      </c>
      <c r="B12" s="41">
        <f ca="1" t="shared" si="0"/>
      </c>
      <c r="C12" s="41">
        <f ca="1" t="shared" si="1"/>
      </c>
      <c r="D12" s="42">
        <f ca="1" t="shared" si="2"/>
      </c>
      <c r="E12" s="96">
        <f>IF(OR(ISNA(A12),$D$2=0),"",IF(Title!$K$1=0,ROUNDDOWN((D12/D$2)*1000,2),ROUND((D12/D$2)*1000,2)))</f>
      </c>
    </row>
    <row r="13" spans="1:5" ht="12.75">
      <c r="A13" s="46" t="e">
        <f ca="1">IF(ISNA(MATCH(ROW()-1,Results!E$5:E$39,0)),MATCH(D12,OFFSET(Results!D$5:D$39,'Leader Board'!A12,0,$A$1),0)+A12,MATCH(ROW()-1,Results!E$5:E$39,0))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IF(ISNA(MATCH(ROW()-1,Results!E$5:E$39,0)),MATCH(D13,OFFSET(Results!D$5:D$39,'Leader Board'!A13,0,$A$1),0)+A13,MATCH(ROW()-1,Results!E$5:E$39,0))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IF(ISNA(MATCH(ROW()-1,Results!E$5:E$39,0)),MATCH(D14,OFFSET(Results!D$5:D$39,'Leader Board'!A14,0,$A$1),0)+A14,MATCH(ROW()-1,Results!E$5:E$39,0))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IF(ISNA(MATCH(ROW()-1,Results!E$5:E$39,0)),MATCH(D15,OFFSET(Results!D$5:D$39,'Leader Board'!A15,0,$A$1),0)+A15,MATCH(ROW()-1,Results!E$5:E$39,0))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IF(ISNA(MATCH(ROW()-1,Results!E$5:E$39,0)),MATCH(D16,OFFSET(Results!D$5:D$39,'Leader Board'!A16,0,$A$1),0)+A16,MATCH(ROW()-1,Results!E$5:E$39,0))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IF(ISNA(MATCH(ROW()-1,Results!E$5:E$39,0)),MATCH(D17,OFFSET(Results!D$5:D$39,'Leader Board'!A17,0,$A$1),0)+A17,MATCH(ROW()-1,Results!E$5:E$39,0))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IF(ISNA(MATCH(ROW()-1,Results!E$5:E$39,0)),MATCH(D18,OFFSET(Results!D$5:D$39,'Leader Board'!A18,0,$A$1),0)+A18,MATCH(ROW()-1,Results!E$5:E$39,0))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IF(ISNA(MATCH(ROW()-1,Results!E$5:E$39,0)),MATCH(D19,OFFSET(Results!D$5:D$39,'Leader Board'!A19,0,$A$1),0)+A19,MATCH(ROW()-1,Results!E$5:E$39,0))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IF(ISNA(MATCH(ROW()-1,Results!E$5:E$39,0)),MATCH(D20,OFFSET(Results!D$5:D$39,'Leader Board'!A20,0,$A$1),0)+A20,MATCH(ROW()-1,Results!E$5:E$39,0))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IF(ISNA(MATCH(ROW()-1,Results!E$5:E$39,0)),MATCH(D21,OFFSET(Results!D$5:D$39,'Leader Board'!A21,0,$A$1),0)+A21,MATCH(ROW()-1,Results!E$5:E$39,0))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IF(ISNA(MATCH(ROW()-1,Results!E$5:E$39,0)),MATCH(D22,OFFSET(Results!D$5:D$39,'Leader Board'!A22,0,$A$1),0)+A22,MATCH(ROW()-1,Results!E$5:E$39,0))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IF(ISNA(MATCH(ROW()-1,Results!E$5:E$39,0)),MATCH(D23,OFFSET(Results!D$5:D$39,'Leader Board'!A23,0,$A$1),0)+A23,MATCH(ROW()-1,Results!E$5:E$39,0))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IF(ISNA(MATCH(ROW()-1,Results!E$5:E$39,0)),MATCH(D24,OFFSET(Results!D$5:D$39,'Leader Board'!A24,0,$A$1),0)+A24,MATCH(ROW()-1,Results!E$5:E$39,0))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IF(ISNA(MATCH(ROW()-1,Results!E$5:E$39,0)),MATCH(D25,OFFSET(Results!D$5:D$39,'Leader Board'!A25,0,$A$1),0)+A25,MATCH(ROW()-1,Results!E$5:E$39,0))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IF(ISNA(MATCH(ROW()-1,Results!E$5:E$39,0)),MATCH(D26,OFFSET(Results!D$5:D$39,'Leader Board'!A26,0,$A$1),0)+A26,MATCH(ROW()-1,Results!E$5:E$39,0))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IF(ISNA(MATCH(ROW()-1,Results!E$5:E$39,0)),MATCH(D27,OFFSET(Results!D$5:D$39,'Leader Board'!A27,0,$A$1),0)+A27,MATCH(ROW()-1,Results!E$5:E$39,0))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IF(ISNA(MATCH(ROW()-1,Results!E$5:E$39,0)),MATCH(D28,OFFSET(Results!D$5:D$39,'Leader Board'!A28,0,$A$1),0)+A28,MATCH(ROW()-1,Results!E$5:E$39,0))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IF(ISNA(MATCH(ROW()-1,Results!E$5:E$39,0)),MATCH(D29,OFFSET(Results!D$5:D$39,'Leader Board'!A29,0,$A$1),0)+A29,MATCH(ROW()-1,Results!E$5:E$39,0))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IF(ISNA(MATCH(ROW()-1,Results!E$5:E$39,0)),MATCH(D30,OFFSET(Results!D$5:D$39,'Leader Board'!A30,0,$A$1),0)+A30,MATCH(ROW()-1,Results!E$5:E$39,0))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IF(ISNA(MATCH(ROW()-1,Results!E$5:E$39,0)),MATCH(D31,OFFSET(Results!D$5:D$39,'Leader Board'!A31,0,$A$1),0)+A31,MATCH(ROW()-1,Results!E$5:E$39,0))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IF(ISNA(MATCH(ROW()-1,Results!E$5:E$39,0)),MATCH(D32,OFFSET(Results!D$5:D$39,'Leader Board'!A32,0,$A$1),0)+A32,MATCH(ROW()-1,Results!E$5:E$39,0))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IF(ISNA(MATCH(ROW()-1,Results!E$5:E$39,0)),MATCH(D33,OFFSET(Results!D$5:D$39,'Leader Board'!A33,0,$A$1),0)+A33,MATCH(ROW()-1,Results!E$5:E$39,0))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IF(ISNA(MATCH(ROW()-1,Results!E$5:E$39,0)),MATCH(D34,OFFSET(Results!D$5:D$39,'Leader Board'!A34,0,$A$1),0)+A34,MATCH(ROW()-1,Results!E$5:E$39,0))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IF(ISNA(MATCH(ROW()-1,Results!E$5:E$39,0)),MATCH(D35,OFFSET(Results!D$5:D$39,'Leader Board'!A35,0,$A$1),0)+A35,MATCH(ROW()-1,Results!E$5:E$39,0))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IF(ISNA(MATCH(ROW()-1,Results!E$5:E$39,0)),MATCH(D36,OFFSET(Results!D$5:D$39,'Leader Board'!A36,0,$A$1),0)+A36,MATCH(ROW()-1,Results!E$5:E$39,0))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IF(ISNA(MATCH(ROW()-1,Results!E$5:E$39,0)),MATCH(D37,OFFSET(Results!D$5:D$39,'Leader Board'!A37,0,$A$1),0)+A37,MATCH(ROW()-1,Results!E$5:E$39,0))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IF(ISNA(MATCH(ROW()-1,Results!E$5:E$39,0)),MATCH(D38,OFFSET(Results!D$5:D$39,'Leader Board'!A38,0,$A$1),0)+A38,MATCH(ROW()-1,Results!E$5:E$39,0))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IF(ISNA(MATCH(ROW()-1,Results!E$5:E$39,0)),MATCH(D39,OFFSET(Results!D$5:D$39,'Leader Board'!A39,0,$A$1),0)+A39,MATCH(ROW()-1,Results!E$5:E$39,0))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IF(ISNA(MATCH(ROW()-1,Results!E$5:E$39,0)),MATCH(D40,OFFSET(Results!D$5:D$39,'Leader Board'!A40,0,$A$1),0)+A40,MATCH(ROW()-1,Results!E$5:E$39,0))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IF(ISNA(MATCH(ROW()-1,Results!E$5:E$39,0)),MATCH(D41,OFFSET(Results!D$5:D$39,'Leader Board'!A41,0,$A$1),0)+A41,MATCH(ROW()-1,Results!E$5:E$39,0))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IF(ISNA(MATCH(ROW()-1,Results!E$5:E$39,0)),MATCH(D42,OFFSET(Results!D$5:D$39,'Leader Board'!A42,0,$A$1),0)+A42,MATCH(ROW()-1,Results!E$5:E$39,0))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IF(ISNA(MATCH(ROW()-1,Results!E$5:E$39,0)),MATCH(D43,OFFSET(Results!D$5:D$39,'Leader Board'!A43,0,$A$1),0)+A43,MATCH(ROW()-1,Results!E$5:E$39,0))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IF(ISNA(MATCH(ROW()-1,Results!E$5:E$39,0)),MATCH(D44,OFFSET(Results!D$5:D$39,'Leader Board'!A44,0,$A$1),0)+A44,MATCH(ROW()-1,Results!E$5:E$39,0))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IF(ISNA(MATCH(ROW()-1,Results!E$5:E$39,0)),MATCH(D45,OFFSET(Results!D$5:D$39,'Leader Board'!A45,0,$A$1),0)+A45,MATCH(ROW()-1,Results!E$5:E$39,0))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IF(ISNA(MATCH(ROW()-1,Results!E$5:E$39,0)),MATCH(D46,OFFSET(Results!D$5:D$39,'Leader Board'!A46,0,$A$1),0)+A46,MATCH(ROW()-1,Results!E$5:E$39,0))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IF(ISNA(MATCH(ROW()-1,Results!E$5:E$39,0)),MATCH(D47,OFFSET(Results!D$5:D$39,'Leader Board'!A47,0,$A$1),0)+A47,MATCH(ROW()-1,Results!E$5:E$39,0))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IF(ISNA(MATCH(ROW()-1,Results!E$5:E$39,0)),MATCH(D48,OFFSET(Results!D$5:D$39,'Leader Board'!A48,0,$A$1),0)+A48,MATCH(ROW()-1,Results!E$5:E$39,0))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IF(ISNA(MATCH(ROW()-1,Results!E$5:E$39,0)),MATCH(D49,OFFSET(Results!D$5:D$39,'Leader Board'!A49,0,$A$1),0)+A49,MATCH(ROW()-1,Results!E$5:E$39,0))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IF(ISNA(MATCH(ROW()-1,Results!E$5:E$39,0)),MATCH(D50,OFFSET(Results!D$5:D$39,'Leader Board'!A50,0,$A$1),0)+A50,MATCH(ROW()-1,Results!E$5:E$39,0))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IF(ISNA(MATCH(ROW()-1,Results!E$5:E$39,0)),MATCH(D51,OFFSET(Results!D$5:D$39,'Leader Board'!A51,0,$A$1),0)+A51,MATCH(ROW()-1,Results!E$5:E$39,0))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IF(ISNA(MATCH(ROW()-1,Results!E$5:E$39,0)),MATCH(D52,OFFSET(Results!D$5:D$39,'Leader Board'!A52,0,$A$1),0)+A52,MATCH(ROW()-1,Results!E$5:E$39,0))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IF(ISNA(MATCH(ROW()-1,Results!E$5:E$39,0)),MATCH(D53,OFFSET(Results!D$5:D$39,'Leader Board'!A53,0,$A$1),0)+A53,MATCH(ROW()-1,Results!E$5:E$39,0))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IF(ISNA(MATCH(ROW()-1,Results!E$5:E$39,0)),MATCH(D54,OFFSET(Results!D$5:D$39,'Leader Board'!A54,0,$A$1),0)+A54,MATCH(ROW()-1,Results!E$5:E$39,0))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IF(ISNA(MATCH(ROW()-1,Results!E$5:E$39,0)),MATCH(D55,OFFSET(Results!D$5:D$39,'Leader Board'!A55,0,$A$1),0)+A55,MATCH(ROW()-1,Results!E$5:E$39,0))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IF(ISNA(MATCH(ROW()-1,Results!E$5:E$39,0)),MATCH(D56,OFFSET(Results!D$5:D$39,'Leader Board'!A56,0,$A$1),0)+A56,MATCH(ROW()-1,Results!E$5:E$39,0))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IF(ISNA(MATCH(ROW()-1,Results!E$5:E$39,0)),MATCH(D57,OFFSET(Results!D$5:D$39,'Leader Board'!A57,0,$A$1),0)+A57,MATCH(ROW()-1,Results!E$5:E$39,0))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IF(ISNA(MATCH(ROW()-1,Results!E$5:E$39,0)),MATCH(D58,OFFSET(Results!D$5:D$39,'Leader Board'!A58,0,$A$1),0)+A58,MATCH(ROW()-1,Results!E$5:E$39,0))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IF(ISNA(MATCH(ROW()-1,Results!E$5:E$39,0)),MATCH(D59,OFFSET(Results!D$5:D$39,'Leader Board'!A59,0,$A$1),0)+A59,MATCH(ROW()-1,Results!E$5:E$39,0))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IF(ISNA(MATCH(ROW()-1,Results!E$5:E$39,0)),MATCH(D60,OFFSET(Results!D$5:D$39,'Leader Board'!A60,0,$A$1),0)+A60,MATCH(ROW()-1,Results!E$5:E$39,0))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IF(ISNA(MATCH(ROW()-1,Results!E$5:E$39,0)),MATCH(D61,OFFSET(Results!D$5:D$39,'Leader Board'!A61,0,$A$1),0)+A61,MATCH(ROW()-1,Results!E$5:E$39,0))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IF(ISNA(MATCH(ROW()-1,Results!E$5:E$39,0)),MATCH(D62,OFFSET(Results!D$5:D$39,'Leader Board'!A62,0,$A$1),0)+A62,MATCH(ROW()-1,Results!E$5:E$39,0))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IF(ISNA(MATCH(ROW()-1,Results!E$5:E$39,0)),MATCH(D63,OFFSET(Results!D$5:D$39,'Leader Board'!A63,0,$A$1),0)+A63,MATCH(ROW()-1,Results!E$5:E$39,0))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IF(ISNA(MATCH(ROW()-1,Results!E$5:E$39,0)),MATCH(D64,OFFSET(Results!D$5:D$39,'Leader Board'!A64,0,$A$1),0)+A64,MATCH(ROW()-1,Results!E$5:E$39,0))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IF(ISNA(MATCH(ROW()-1,Results!E$5:E$39,0)),MATCH(D65,OFFSET(Results!D$5:D$39,'Leader Board'!A65,0,$A$1),0)+A65,MATCH(ROW()-1,Results!E$5:E$39,0))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IF(ISNA(MATCH(ROW()-1,Results!E$5:E$39,0)),MATCH(D66,OFFSET(Results!D$5:D$39,'Leader Board'!A66,0,$A$1),0)+A66,MATCH(ROW()-1,Results!E$5:E$39,0))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IF(ISNA(MATCH(ROW()-1,Results!E$5:E$39,0)),MATCH(D67,OFFSET(Results!D$5:D$39,'Leader Board'!A67,0,$A$1),0)+A67,MATCH(ROW()-1,Results!E$5:E$39,0))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IF(ISNA(MATCH(ROW()-1,Results!E$5:E$39,0)),MATCH(D68,OFFSET(Results!D$5:D$39,'Leader Board'!A68,0,$A$1),0)+A68,MATCH(ROW()-1,Results!E$5:E$39,0))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IF(ISNA(MATCH(ROW()-1,Results!E$5:E$39,0)),MATCH(D69,OFFSET(Results!D$5:D$39,'Leader Board'!A69,0,$A$1),0)+A69,MATCH(ROW()-1,Results!E$5:E$39,0))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IF(ISNA(MATCH(ROW()-1,Results!E$5:E$39,0)),MATCH(D70,OFFSET(Results!D$5:D$39,'Leader Board'!A70,0,$A$1),0)+A70,MATCH(ROW()-1,Results!E$5:E$39,0))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IF(ISNA(MATCH(ROW()-1,Results!E$5:E$39,0)),MATCH(D71,OFFSET(Results!D$5:D$39,'Leader Board'!A71,0,$A$1),0)+A71,MATCH(ROW()-1,Results!E$5:E$39,0))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IF(ISNA(MATCH(ROW()-1,Results!E$5:E$39,0)),MATCH(D72,OFFSET(Results!D$5:D$39,'Leader Board'!A72,0,$A$1),0)+A72,MATCH(ROW()-1,Results!E$5:E$39,0))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IF(ISNA(MATCH(ROW()-1,Results!E$5:E$39,0)),MATCH(D73,OFFSET(Results!D$5:D$39,'Leader Board'!A73,0,$A$1),0)+A73,MATCH(ROW()-1,Results!E$5:E$39,0))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IF(ISNA(MATCH(ROW()-1,Results!E$5:E$39,0)),MATCH(D74,OFFSET(Results!D$5:D$39,'Leader Board'!A74,0,$A$1),0)+A74,MATCH(ROW()-1,Results!E$5:E$39,0))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IF(ISNA(MATCH(ROW()-1,Results!E$5:E$39,0)),MATCH(D75,OFFSET(Results!D$5:D$39,'Leader Board'!A75,0,$A$1),0)+A75,MATCH(ROW()-1,Results!E$5:E$39,0))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IF(ISNA(MATCH(ROW()-1,Results!E$5:E$39,0)),MATCH(D76,OFFSET(Results!D$5:D$39,'Leader Board'!A76,0,$A$1),0)+A76,MATCH(ROW()-1,Results!E$5:E$39,0))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IF(ISNA(MATCH(ROW()-1,Results!E$5:E$39,0)),MATCH(D77,OFFSET(Results!D$5:D$39,'Leader Board'!A77,0,$A$1),0)+A77,MATCH(ROW()-1,Results!E$5:E$39,0))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IF(ISNA(MATCH(ROW()-1,Results!E$5:E$39,0)),MATCH(D78,OFFSET(Results!D$5:D$39,'Leader Board'!A78,0,$A$1),0)+A78,MATCH(ROW()-1,Results!E$5:E$39,0))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IF(ISNA(MATCH(ROW()-1,Results!E$5:E$39,0)),MATCH(D79,OFFSET(Results!D$5:D$39,'Leader Board'!A79,0,$A$1),0)+A79,MATCH(ROW()-1,Results!E$5:E$39,0))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IF(ISNA(MATCH(ROW()-1,Results!E$5:E$39,0)),MATCH(D80,OFFSET(Results!D$5:D$39,'Leader Board'!A80,0,$A$1),0)+A80,MATCH(ROW()-1,Results!E$5:E$39,0))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IF(ISNA(MATCH(ROW()-1,Results!E$5:E$39,0)),MATCH(D81,OFFSET(Results!D$5:D$39,'Leader Board'!A81,0,$A$1),0)+A81,MATCH(ROW()-1,Results!E$5:E$39,0))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IF(ISNA(MATCH(ROW()-1,Results!E$5:E$39,0)),MATCH(D82,OFFSET(Results!D$5:D$39,'Leader Board'!A82,0,$A$1),0)+A82,MATCH(ROW()-1,Results!E$5:E$39,0))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IF(ISNA(MATCH(ROW()-1,Results!E$5:E$39,0)),MATCH(D83,OFFSET(Results!D$5:D$39,'Leader Board'!A83,0,$A$1),0)+A83,MATCH(ROW()-1,Results!E$5:E$39,0))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IF(ISNA(MATCH(ROW()-1,Results!E$5:E$39,0)),MATCH(D84,OFFSET(Results!D$5:D$39,'Leader Board'!A84,0,$A$1),0)+A84,MATCH(ROW()-1,Results!E$5:E$39,0))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IF(ISNA(MATCH(ROW()-1,Results!E$5:E$39,0)),MATCH(D85,OFFSET(Results!D$5:D$39,'Leader Board'!A85,0,$A$1),0)+A85,MATCH(ROW()-1,Results!E$5:E$39,0))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IF(ISNA(MATCH(ROW()-1,Results!E$5:E$39,0)),MATCH(D86,OFFSET(Results!D$5:D$39,'Leader Board'!A86,0,$A$1),0)+A86,MATCH(ROW()-1,Results!E$5:E$39,0))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IF(ISNA(MATCH(ROW()-1,Results!E$5:E$39,0)),MATCH(D87,OFFSET(Results!D$5:D$39,'Leader Board'!A87,0,$A$1),0)+A87,MATCH(ROW()-1,Results!E$5:E$39,0))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IF(ISNA(MATCH(ROW()-1,Results!E$5:E$39,0)),MATCH(D88,OFFSET(Results!D$5:D$39,'Leader Board'!A88,0,$A$1),0)+A88,MATCH(ROW()-1,Results!E$5:E$39,0))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IF(ISNA(MATCH(ROW()-1,Results!E$5:E$39,0)),MATCH(D89,OFFSET(Results!D$5:D$39,'Leader Board'!A89,0,$A$1),0)+A89,MATCH(ROW()-1,Results!E$5:E$39,0))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IF(ISNA(MATCH(ROW()-1,Results!E$5:E$39,0)),MATCH(D90,OFFSET(Results!D$5:D$39,'Leader Board'!A90,0,$A$1),0)+A90,MATCH(ROW()-1,Results!E$5:E$39,0))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IF(ISNA(MATCH(ROW()-1,Results!E$5:E$39,0)),MATCH(D91,OFFSET(Results!D$5:D$39,'Leader Board'!A91,0,$A$1),0)+A91,MATCH(ROW()-1,Results!E$5:E$39,0))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IF(ISNA(MATCH(ROW()-1,Results!E$5:E$39,0)),MATCH(D92,OFFSET(Results!D$5:D$39,'Leader Board'!A92,0,$A$1),0)+A92,MATCH(ROW()-1,Results!E$5:E$39,0))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IF(ISNA(MATCH(ROW()-1,Results!E$5:E$39,0)),MATCH(D93,OFFSET(Results!D$5:D$39,'Leader Board'!A93,0,$A$1),0)+A93,MATCH(ROW()-1,Results!E$5:E$39,0))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IF(ISNA(MATCH(ROW()-1,Results!E$5:E$39,0)),MATCH(D94,OFFSET(Results!D$5:D$39,'Leader Board'!A94,0,$A$1),0)+A94,MATCH(ROW()-1,Results!E$5:E$39,0))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IF(ISNA(MATCH(ROW()-1,Results!E$5:E$39,0)),MATCH(D95,OFFSET(Results!D$5:D$39,'Leader Board'!A95,0,$A$1),0)+A95,MATCH(ROW()-1,Results!E$5:E$39,0))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IF(ISNA(MATCH(ROW()-1,Results!E$5:E$39,0)),MATCH(D96,OFFSET(Results!D$5:D$39,'Leader Board'!A96,0,$A$1),0)+A96,MATCH(ROW()-1,Results!E$5:E$39,0))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IF(ISNA(MATCH(ROW()-1,Results!E$5:E$39,0)),MATCH(D97,OFFSET(Results!D$5:D$39,'Leader Board'!A97,0,$A$1),0)+A97,MATCH(ROW()-1,Results!E$5:E$39,0))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IF(ISNA(MATCH(ROW()-1,Results!E$5:E$39,0)),MATCH(D98,OFFSET(Results!D$5:D$39,'Leader Board'!A98,0,$A$1),0)+A98,MATCH(ROW()-1,Results!E$5:E$39,0))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IF(ISNA(MATCH(ROW()-1,Results!E$5:E$39,0)),MATCH(D99,OFFSET(Results!D$5:D$39,'Leader Board'!A99,0,$A$1),0)+A99,MATCH(ROW()-1,Results!E$5:E$39,0))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6" sqref="A66:IV98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9.75">
      <c r="A3" s="16">
        <v>1</v>
      </c>
      <c r="B3" s="17" t="s">
        <v>224</v>
      </c>
      <c r="C3" s="17">
        <v>24</v>
      </c>
      <c r="D3" s="115">
        <v>62.34</v>
      </c>
      <c r="E3" s="18"/>
      <c r="F3" s="115">
        <v>48.02</v>
      </c>
      <c r="G3" s="18"/>
      <c r="H3" s="115">
        <v>64.4</v>
      </c>
      <c r="I3" s="18"/>
      <c r="J3" s="115">
        <v>62.59</v>
      </c>
      <c r="K3" s="18"/>
      <c r="L3" s="115">
        <v>55.12</v>
      </c>
      <c r="M3" s="18"/>
      <c r="N3" s="115">
        <v>61.69</v>
      </c>
      <c r="O3" s="18"/>
      <c r="P3" s="115">
        <v>64.08</v>
      </c>
      <c r="Q3" s="18"/>
      <c r="R3" s="115">
        <v>60.5</v>
      </c>
      <c r="S3" s="18">
        <v>0</v>
      </c>
      <c r="T3" s="115"/>
      <c r="U3" s="18"/>
      <c r="V3" s="115"/>
      <c r="W3" s="18"/>
      <c r="X3" s="115"/>
      <c r="Y3" s="18"/>
      <c r="Z3" s="115"/>
      <c r="AB3" s="115"/>
      <c r="AC3" s="18"/>
      <c r="AD3" s="115"/>
      <c r="AE3" s="18"/>
      <c r="AF3" s="115"/>
      <c r="AG3" s="18"/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9.75">
      <c r="A4" s="16">
        <v>2</v>
      </c>
      <c r="B4" s="17" t="s">
        <v>219</v>
      </c>
      <c r="C4" s="17">
        <v>24</v>
      </c>
      <c r="D4" s="115">
        <v>87.28</v>
      </c>
      <c r="E4" s="18"/>
      <c r="F4" s="115">
        <v>63.76</v>
      </c>
      <c r="G4" s="18"/>
      <c r="H4" s="115">
        <v>83.56</v>
      </c>
      <c r="I4" s="18"/>
      <c r="J4" s="115">
        <v>83.02</v>
      </c>
      <c r="K4" s="18"/>
      <c r="L4" s="115">
        <v>69.35</v>
      </c>
      <c r="M4" s="18"/>
      <c r="N4" s="115">
        <v>0</v>
      </c>
      <c r="O4" s="18"/>
      <c r="P4" s="115">
        <v>0</v>
      </c>
      <c r="Q4" s="18"/>
      <c r="R4" s="115">
        <v>0</v>
      </c>
      <c r="S4" s="18">
        <v>0</v>
      </c>
      <c r="T4" s="115"/>
      <c r="U4" s="18"/>
      <c r="V4" s="115"/>
      <c r="W4" s="18"/>
      <c r="X4" s="115"/>
      <c r="Y4" s="18"/>
      <c r="Z4" s="115"/>
      <c r="AB4" s="115"/>
      <c r="AC4" s="18"/>
      <c r="AD4" s="115"/>
      <c r="AE4" s="18"/>
      <c r="AF4" s="115"/>
      <c r="AG4" s="18"/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9.75">
      <c r="A5" s="16">
        <v>3</v>
      </c>
      <c r="B5" s="17" t="s">
        <v>220</v>
      </c>
      <c r="C5" s="17">
        <v>24</v>
      </c>
      <c r="D5" s="115">
        <v>69.65</v>
      </c>
      <c r="E5" s="18"/>
      <c r="F5" s="115">
        <v>54.03</v>
      </c>
      <c r="G5" s="18"/>
      <c r="H5" s="115">
        <v>82.62</v>
      </c>
      <c r="I5" s="18"/>
      <c r="J5" s="115">
        <v>66.28</v>
      </c>
      <c r="K5" s="18"/>
      <c r="L5" s="115">
        <v>61.41</v>
      </c>
      <c r="M5" s="18"/>
      <c r="N5" s="115">
        <v>72</v>
      </c>
      <c r="O5" s="18"/>
      <c r="P5" s="115">
        <v>72.91</v>
      </c>
      <c r="Q5" s="18"/>
      <c r="R5" s="115">
        <v>0</v>
      </c>
      <c r="S5" s="18">
        <v>0</v>
      </c>
      <c r="T5" s="115"/>
      <c r="U5" s="18"/>
      <c r="V5" s="115"/>
      <c r="W5" s="18"/>
      <c r="X5" s="115"/>
      <c r="Y5" s="18"/>
      <c r="Z5" s="115"/>
      <c r="AB5" s="115"/>
      <c r="AC5" s="18"/>
      <c r="AD5" s="115"/>
      <c r="AE5" s="18"/>
      <c r="AF5" s="115"/>
      <c r="AG5" s="18"/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9.75">
      <c r="A6" s="19">
        <v>4</v>
      </c>
      <c r="B6" s="20" t="s">
        <v>221</v>
      </c>
      <c r="C6" s="20">
        <v>24</v>
      </c>
      <c r="D6" s="116">
        <v>73.4</v>
      </c>
      <c r="E6" s="21"/>
      <c r="F6" s="116">
        <v>62.29</v>
      </c>
      <c r="G6" s="21"/>
      <c r="H6" s="116">
        <v>63.71</v>
      </c>
      <c r="I6" s="21"/>
      <c r="J6" s="116">
        <v>58.28</v>
      </c>
      <c r="K6" s="21"/>
      <c r="L6" s="116">
        <v>54.98</v>
      </c>
      <c r="M6" s="21"/>
      <c r="N6" s="116">
        <v>62.9</v>
      </c>
      <c r="O6" s="21"/>
      <c r="P6" s="116">
        <v>54.65</v>
      </c>
      <c r="Q6" s="21"/>
      <c r="R6" s="116">
        <v>64.09</v>
      </c>
      <c r="S6" s="21">
        <v>0</v>
      </c>
      <c r="T6" s="116"/>
      <c r="U6" s="21"/>
      <c r="V6" s="116"/>
      <c r="W6" s="21"/>
      <c r="X6" s="116"/>
      <c r="Y6" s="21"/>
      <c r="Z6" s="116"/>
      <c r="AB6" s="116"/>
      <c r="AC6" s="21"/>
      <c r="AD6" s="116"/>
      <c r="AE6" s="21"/>
      <c r="AF6" s="116"/>
      <c r="AG6" s="21"/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9.75">
      <c r="A7" s="19">
        <v>5</v>
      </c>
      <c r="B7" s="20" t="s">
        <v>222</v>
      </c>
      <c r="C7" s="20">
        <v>24</v>
      </c>
      <c r="D7" s="116">
        <v>61.73</v>
      </c>
      <c r="E7" s="21"/>
      <c r="F7" s="116">
        <v>61.14</v>
      </c>
      <c r="G7" s="21"/>
      <c r="H7" s="116">
        <v>61.4</v>
      </c>
      <c r="I7" s="21"/>
      <c r="J7" s="116">
        <v>58.49</v>
      </c>
      <c r="K7" s="21"/>
      <c r="L7" s="116">
        <v>57.81</v>
      </c>
      <c r="M7" s="21"/>
      <c r="N7" s="116">
        <v>64.82</v>
      </c>
      <c r="O7" s="21"/>
      <c r="P7" s="116">
        <v>54.71</v>
      </c>
      <c r="Q7" s="21"/>
      <c r="R7" s="116">
        <v>66.92</v>
      </c>
      <c r="S7" s="21">
        <v>0</v>
      </c>
      <c r="T7" s="116"/>
      <c r="U7" s="21"/>
      <c r="V7" s="116"/>
      <c r="W7" s="21"/>
      <c r="X7" s="116"/>
      <c r="Y7" s="21"/>
      <c r="Z7" s="116"/>
      <c r="AB7" s="116"/>
      <c r="AC7" s="21"/>
      <c r="AD7" s="116"/>
      <c r="AE7" s="21"/>
      <c r="AF7" s="116"/>
      <c r="AG7" s="21"/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9.75">
      <c r="A8" s="19">
        <v>6</v>
      </c>
      <c r="B8" s="20" t="s">
        <v>223</v>
      </c>
      <c r="C8" s="20">
        <v>24</v>
      </c>
      <c r="D8" s="116">
        <v>68.52</v>
      </c>
      <c r="E8" s="21"/>
      <c r="F8" s="116">
        <v>66.52</v>
      </c>
      <c r="G8" s="21"/>
      <c r="H8" s="116">
        <v>63.03</v>
      </c>
      <c r="I8" s="21"/>
      <c r="J8" s="116">
        <v>63.93</v>
      </c>
      <c r="K8" s="21"/>
      <c r="L8" s="116">
        <v>68.7</v>
      </c>
      <c r="M8" s="21"/>
      <c r="N8" s="116">
        <v>68.24</v>
      </c>
      <c r="O8" s="21"/>
      <c r="P8" s="116">
        <v>59.78</v>
      </c>
      <c r="Q8" s="21"/>
      <c r="R8" s="116">
        <v>67.31</v>
      </c>
      <c r="S8" s="21">
        <v>0</v>
      </c>
      <c r="T8" s="116"/>
      <c r="U8" s="21"/>
      <c r="V8" s="116"/>
      <c r="W8" s="21"/>
      <c r="X8" s="116"/>
      <c r="Y8" s="21"/>
      <c r="Z8" s="116"/>
      <c r="AB8" s="116"/>
      <c r="AC8" s="21"/>
      <c r="AD8" s="116"/>
      <c r="AE8" s="21"/>
      <c r="AF8" s="116"/>
      <c r="AG8" s="21"/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9.75">
      <c r="A9" s="16">
        <v>7</v>
      </c>
      <c r="D9" s="115"/>
      <c r="E9" s="18"/>
      <c r="F9" s="115"/>
      <c r="G9" s="18"/>
      <c r="H9" s="115"/>
      <c r="I9" s="18"/>
      <c r="J9" s="115"/>
      <c r="K9" s="18"/>
      <c r="L9" s="115"/>
      <c r="M9" s="18"/>
      <c r="N9" s="115"/>
      <c r="O9" s="18"/>
      <c r="P9" s="115"/>
      <c r="Q9" s="18"/>
      <c r="R9" s="115"/>
      <c r="S9" s="18"/>
      <c r="T9" s="115"/>
      <c r="U9" s="18"/>
      <c r="V9" s="115"/>
      <c r="W9" s="18"/>
      <c r="X9" s="115"/>
      <c r="Y9" s="18"/>
      <c r="Z9" s="115"/>
      <c r="AB9" s="115"/>
      <c r="AC9" s="18"/>
      <c r="AD9" s="115"/>
      <c r="AE9" s="18"/>
      <c r="AF9" s="115"/>
      <c r="AG9" s="18"/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9.75">
      <c r="A10" s="16">
        <v>8</v>
      </c>
      <c r="D10" s="115"/>
      <c r="E10" s="18"/>
      <c r="F10" s="115"/>
      <c r="G10" s="18"/>
      <c r="H10" s="115"/>
      <c r="I10" s="18"/>
      <c r="J10" s="115"/>
      <c r="K10" s="18"/>
      <c r="L10" s="115"/>
      <c r="M10" s="18"/>
      <c r="N10" s="115"/>
      <c r="O10" s="18"/>
      <c r="P10" s="115"/>
      <c r="Q10" s="18"/>
      <c r="R10" s="115"/>
      <c r="S10" s="18"/>
      <c r="T10" s="115"/>
      <c r="U10" s="18"/>
      <c r="V10" s="115"/>
      <c r="W10" s="18"/>
      <c r="X10" s="115"/>
      <c r="Y10" s="18"/>
      <c r="Z10" s="115"/>
      <c r="AB10" s="115"/>
      <c r="AC10" s="18"/>
      <c r="AD10" s="115"/>
      <c r="AE10" s="18"/>
      <c r="AF10" s="115"/>
      <c r="AG10" s="18"/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9.7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9.7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9.7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9.7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9.7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9.7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9.7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9.7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9.7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9.7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9.7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9.7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9.7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9.7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9.7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9.7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9.7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9.7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9.7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9.7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9.7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9.7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9.7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9.7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9.7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9.7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9.7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9.7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9.7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9.7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9.7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9.7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9.7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9.7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9.7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9.7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9.7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9.7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9.7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9.7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9.7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9.7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9.7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9.7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9.7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9.7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9.7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9.7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9.7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9.7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9.7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9.7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9.7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9.7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9.7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9.7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9.7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9.7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9.7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9.7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9.7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9.7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9.7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9.7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9.7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9.7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9.7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9.7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9.7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9.7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9.7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9.7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9.7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9.7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9.7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9.7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9.7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9.7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9.7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9.7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9.7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9.7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9.7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9.7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9.7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9.7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9.7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9.7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9.7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9.7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9.7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9.75">
      <c r="A102" s="138" t="s">
        <v>180</v>
      </c>
      <c r="B102" s="138"/>
      <c r="C102" s="138"/>
      <c r="D102" s="134">
        <f>IF(NumberOfRoundsFlown(Rawdata)&gt;0,MAX(D3:D101),"")</f>
        <v>87.28</v>
      </c>
      <c r="E102" s="135"/>
      <c r="F102" s="134">
        <f>IF(NumberOfRoundsFlown(Rawdata)&gt;1,MAX(F3:F101),"")</f>
        <v>66.52</v>
      </c>
      <c r="G102" s="135"/>
      <c r="H102" s="134">
        <f>IF(NumberOfRoundsFlown(Rawdata)&gt;2,MAX(H3:H101),"")</f>
        <v>83.56</v>
      </c>
      <c r="I102" s="135"/>
      <c r="J102" s="134">
        <f>IF(NumberOfRoundsFlown(Rawdata)&gt;3,MAX(J3:J101),"")</f>
        <v>83.02</v>
      </c>
      <c r="K102" s="135"/>
      <c r="L102" s="134">
        <f>IF(NumberOfRoundsFlown(Rawdata)&gt;4,MAX(L3:L101),"")</f>
        <v>69.35</v>
      </c>
      <c r="M102" s="135"/>
      <c r="N102" s="134">
        <f>IF(NumberOfRoundsFlown(Rawdata)&gt;5,MAX(N3:N101),"")</f>
        <v>72</v>
      </c>
      <c r="O102" s="135"/>
      <c r="P102" s="134">
        <f>IF(NumberOfRoundsFlown(Rawdata)&gt;6,MAX(P3:P101),"")</f>
        <v>72.91</v>
      </c>
      <c r="Q102" s="135"/>
      <c r="R102" s="134">
        <f>IF(NumberOfRoundsFlown(Rawdata)&gt;7,MAX(R3:R101),"")</f>
        <v>67.31</v>
      </c>
      <c r="S102" s="135"/>
      <c r="T102" s="134">
        <f>IF(NumberOfRoundsFlown(Rawdata)&gt;8,MAX(T3:T101),"")</f>
      </c>
      <c r="U102" s="135"/>
      <c r="V102" s="134">
        <f>IF(NumberOfRoundsFlown(Rawdata)&gt;9,MAX(V3:V101),"")</f>
      </c>
      <c r="W102" s="135"/>
      <c r="X102" s="134">
        <f>IF(NumberOfRoundsFlown(Rawdata)&gt;10,MAX(X3:X101),"")</f>
      </c>
      <c r="Y102" s="135"/>
      <c r="Z102" s="134">
        <f>IF(NumberOfRoundsFlown(Rawdata)&gt;11,MAX(Z3:Z101),"")</f>
      </c>
      <c r="AA102" s="135"/>
      <c r="AB102" s="134">
        <f>IF(NumberOfRoundsFlown(Rawdata)&gt;12,MAX(AB3:AB101),"")</f>
      </c>
      <c r="AC102" s="135"/>
      <c r="AD102" s="134">
        <f>IF(NumberOfRoundsFlown(Rawdata)&gt;13,MAX(AD3:AD101),"")</f>
      </c>
      <c r="AE102" s="135"/>
      <c r="AF102" s="134">
        <f>IF(NumberOfRoundsFlown(Rawdata)&gt;14,MAX(AF3:AF101),"")</f>
      </c>
      <c r="AG102" s="135"/>
      <c r="AH102" s="134">
        <f>IF(NumberOfRoundsFlown(Rawdata)&gt;15,MAX(AH3:AH101),"")</f>
      </c>
      <c r="AI102" s="135"/>
      <c r="AJ102" s="134">
        <f>IF(NumberOfRoundsFlown(Rawdata)&gt;16,MAX(AJ3:AJ101),"")</f>
      </c>
      <c r="AK102" s="135"/>
      <c r="AL102" s="134">
        <f>IF(NumberOfRoundsFlown(Rawdata)&gt;17,MAX(AL3:AL101),"")</f>
      </c>
      <c r="AM102" s="135"/>
      <c r="AN102" s="134">
        <f>IF(NumberOfRoundsFlown(Rawdata)&gt;18,MAX(AN3:AN101),"")</f>
      </c>
      <c r="AO102" s="135"/>
      <c r="AP102" s="134">
        <f>IF(NumberOfRoundsFlown(Rawdata)&gt;19,MAX(AP3:AP101),"")</f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61.73</v>
      </c>
      <c r="E103" s="140"/>
      <c r="F103" s="136">
        <f>IF(NumberOfRoundsFlown(Rawdata)&gt;1,INDEX(FastestTimes,1,2),"")</f>
        <v>48.02</v>
      </c>
      <c r="G103" s="137"/>
      <c r="H103" s="136">
        <f>IF(NumberOfRoundsFlown(Rawdata)&gt;2,INDEX(FastestTimes,1,3),"")</f>
        <v>61.4</v>
      </c>
      <c r="I103" s="137"/>
      <c r="J103" s="136">
        <f>IF(NumberOfRoundsFlown(Rawdata)&gt;3,INDEX(FastestTimes,1,4),"")</f>
        <v>58.28</v>
      </c>
      <c r="K103" s="137"/>
      <c r="L103" s="136">
        <f>IF(NumberOfRoundsFlown(Rawdata)&gt;4,INDEX(FastestTimes,1,5),"")</f>
        <v>54.98</v>
      </c>
      <c r="M103" s="137"/>
      <c r="N103" s="136">
        <f>IF(NumberOfRoundsFlown(Rawdata)&gt;5,INDEX(FastestTimes,1,6),"")</f>
        <v>61.69</v>
      </c>
      <c r="O103" s="137"/>
      <c r="P103" s="136">
        <f>IF(NumberOfRoundsFlown(Rawdata)&gt;6,INDEX(FastestTimes,1,7),"")</f>
        <v>54.65</v>
      </c>
      <c r="Q103" s="137"/>
      <c r="R103" s="136">
        <f>IF(NumberOfRoundsFlown(Rawdata)&gt;7,INDEX(FastestTimes,1,8),"")</f>
        <v>60.5</v>
      </c>
      <c r="S103" s="137"/>
      <c r="T103" s="136">
        <f>IF(NumberOfRoundsFlown(Rawdata)&gt;8,INDEX(FastestTimes,1,9),"")</f>
      </c>
      <c r="U103" s="137"/>
      <c r="V103" s="136">
        <f>IF(NumberOfRoundsFlown(Rawdata)&gt;9,INDEX(FastestTimes,1,10),"")</f>
      </c>
      <c r="W103" s="137"/>
      <c r="X103" s="136">
        <f>IF(NumberOfRoundsFlown(Rawdata)&gt;10,INDEX(FastestTimes,1,11),"")</f>
      </c>
      <c r="Y103" s="137"/>
      <c r="Z103" s="136">
        <f>IF(NumberOfRoundsFlown(Rawdata)&gt;11,INDEX(FastestTimes,1,12),"")</f>
      </c>
      <c r="AA103" s="137"/>
      <c r="AB103" s="136">
        <f>IF(NumberOfRoundsFlown(Rawdata)&gt;12,INDEX(FastestTimes,1,13),"")</f>
      </c>
      <c r="AC103" s="137"/>
      <c r="AD103" s="136">
        <f>IF(NumberOfRoundsFlown(Rawdata)&gt;13,INDEX(FastestTimes,1,14),"")</f>
      </c>
      <c r="AE103" s="137"/>
      <c r="AF103" s="136">
        <f>IF(NumberOfRoundsFlown(Rawdata)&gt;14,INDEX(FastestTimes,1,15),"")</f>
      </c>
      <c r="AG103" s="137"/>
      <c r="AH103" s="136">
        <f>IF(NumberOfRoundsFlown(Rawdata)&gt;15,INDEX(FastestTimes,1,16),"")</f>
      </c>
      <c r="AI103" s="137"/>
      <c r="AJ103" s="136">
        <f>IF(NumberOfRoundsFlown(Rawdata)&gt;16,INDEX(FastestTimes,1,17),"")</f>
      </c>
      <c r="AK103" s="137"/>
      <c r="AL103" s="136">
        <f>IF(NumberOfRoundsFlown(Rawdata)&gt;17,INDEX(FastestTimes,1,18),"")</f>
      </c>
      <c r="AM103" s="137"/>
      <c r="AN103" s="136">
        <f>IF(NumberOfRoundsFlown(Rawdata)&gt;18,INDEX(FastestTimes,1,19),"")</f>
      </c>
      <c r="AO103" s="137"/>
      <c r="AP103" s="136">
        <f>IF(NumberOfRoundsFlown(Rawdata)&gt;19,INDEX(FastestTimes,1,20),"")</f>
      </c>
      <c r="AQ103" s="137"/>
    </row>
    <row r="104" spans="1:43" s="36" customFormat="1" ht="9.75">
      <c r="A104" s="139" t="s">
        <v>179</v>
      </c>
      <c r="B104" s="139"/>
      <c r="C104" s="139"/>
      <c r="D104" s="136">
        <f>IF(NumberOfRoundsFlown(Rawdata)&gt;0,SUM(D3:D101)/COUNTIF(D3:D101,"&gt;0"),"")</f>
        <v>70.48666666666666</v>
      </c>
      <c r="E104" s="141"/>
      <c r="F104" s="136">
        <f>IF(NumberOfRoundsFlown(Rawdata)&gt;1,SUM(F3:F101)/COUNTIF(F3:F101,"&gt;0"),"")</f>
        <v>59.29333333333333</v>
      </c>
      <c r="G104" s="141"/>
      <c r="H104" s="136">
        <f>IF(NumberOfRoundsFlown(Rawdata)&gt;2,SUM(H3:H101)/COUNTIF(H3:H101,"&gt;0"),"")</f>
        <v>69.78666666666668</v>
      </c>
      <c r="I104" s="141"/>
      <c r="J104" s="136">
        <f>IF(NumberOfRoundsFlown(Rawdata)&gt;3,SUM(J3:J101)/COUNTIF(J3:J101,"&gt;0"),"")</f>
        <v>65.43166666666667</v>
      </c>
      <c r="K104" s="141"/>
      <c r="L104" s="136">
        <f>IF(NumberOfRoundsFlown(Rawdata)&gt;4,SUM(L3:L101)/COUNTIF(L3:L101,"&gt;0"),"")</f>
        <v>61.228333333333325</v>
      </c>
      <c r="M104" s="141"/>
      <c r="N104" s="136">
        <f>IF(NumberOfRoundsFlown(Rawdata)&gt;5,SUM(N3:N101)/COUNTIF(N3:N101,"&gt;0"),"")</f>
        <v>65.92999999999999</v>
      </c>
      <c r="O104" s="141"/>
      <c r="P104" s="136">
        <f>IF(NumberOfRoundsFlown(Rawdata)&gt;6,SUM(P3:P101)/COUNTIF(P3:P101,"&gt;0"),"")</f>
        <v>61.226</v>
      </c>
      <c r="Q104" s="141"/>
      <c r="R104" s="136">
        <f>IF(NumberOfRoundsFlown(Rawdata)&gt;7,SUM(R3:R101)/COUNTIF(R3:R101,"&gt;0"),"")</f>
        <v>64.705</v>
      </c>
      <c r="S104" s="141"/>
      <c r="T104" s="136">
        <f>IF(NumberOfRoundsFlown(Rawdata)&gt;8,SUM(T3:T101)/COUNTIF(T3:T101,"&gt;0"),"")</f>
      </c>
      <c r="U104" s="141"/>
      <c r="V104" s="136">
        <f>IF(NumberOfRoundsFlown(Rawdata)&gt;9,SUM(V3:V101)/COUNTIF(V3:V101,"&gt;0"),"")</f>
      </c>
      <c r="W104" s="141"/>
      <c r="X104" s="136">
        <f>IF(NumberOfRoundsFlown(Rawdata)&gt;10,SUM(X3:X101)/COUNTIF(X3:X101,"&gt;0"),"")</f>
      </c>
      <c r="Y104" s="141"/>
      <c r="Z104" s="136">
        <f>IF(NumberOfRoundsFlown(Rawdata)&gt;11,SUM(Z3:Z101)/COUNTIF(Z3:Z101,"&gt;0"),"")</f>
      </c>
      <c r="AA104" s="141"/>
      <c r="AB104" s="136">
        <f>IF(NumberOfRoundsFlown(Rawdata)&gt;12,SUM(AB3:AB101)/COUNTIF(AB3:AB101,"&gt;0"),"")</f>
      </c>
      <c r="AC104" s="141"/>
      <c r="AD104" s="136">
        <f>IF(NumberOfRoundsFlown(Rawdata)&gt;13,SUM(AD3:AD101)/COUNTIF(AD3:AD101,"&gt;0"),"")</f>
      </c>
      <c r="AE104" s="141"/>
      <c r="AF104" s="136">
        <f>IF(NumberOfRoundsFlown(Rawdata)&gt;14,SUM(AF3:AF101)/COUNTIF(AF3:AF101,"&gt;0"),"")</f>
      </c>
      <c r="AG104" s="141"/>
      <c r="AH104" s="136">
        <f>IF(NumberOfRoundsFlown(Rawdata)&gt;15,SUM(AH3:AH101)/COUNTIF(AH3:AH101,"&gt;0"),"")</f>
      </c>
      <c r="AI104" s="141"/>
      <c r="AJ104" s="136">
        <f>IF(NumberOfRoundsFlown(Rawdata)&gt;16,SUM(AJ3:AJ101)/COUNTIF(AJ3:AJ101,"&gt;0"),"")</f>
      </c>
      <c r="AK104" s="141"/>
      <c r="AL104" s="136">
        <f>IF(NumberOfRoundsFlown(Rawdata)&gt;17,SUM(AL3:AL101)/COUNTIF(AL3:AL101,"&gt;0"),"")</f>
      </c>
      <c r="AM104" s="141"/>
      <c r="AN104" s="136">
        <f>IF(NumberOfRoundsFlown(Rawdata)&gt;18,SUM(AN3:AN101)/COUNTIF(AN3:AN101,"&gt;0"),"")</f>
      </c>
      <c r="AO104" s="141"/>
      <c r="AP104" s="136">
        <f>IF(NumberOfRoundsFlown(Rawdata)&gt;19,SUM(AP3:AP101)/COUNTIF(AP3:AP101,"&gt;0"),"")</f>
      </c>
      <c r="AQ104" s="141"/>
    </row>
  </sheetData>
  <sheetProtection password="BBB3" sheet="1" objects="1" scenarios="1"/>
  <mergeCells count="63"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  <mergeCell ref="AH102:AI102"/>
    <mergeCell ref="AH103:AI103"/>
    <mergeCell ref="AH104:AI104"/>
    <mergeCell ref="AJ102:AK102"/>
    <mergeCell ref="AJ103:AK103"/>
    <mergeCell ref="AJ104:AK104"/>
    <mergeCell ref="AD102:AE102"/>
    <mergeCell ref="AD103:AE103"/>
    <mergeCell ref="AD104:AE104"/>
    <mergeCell ref="AF102:AG102"/>
    <mergeCell ref="AF103:AG103"/>
    <mergeCell ref="AF104:AG104"/>
    <mergeCell ref="Z102:AA102"/>
    <mergeCell ref="Z103:AA103"/>
    <mergeCell ref="Z104:AA104"/>
    <mergeCell ref="AB102:AC102"/>
    <mergeCell ref="AB103:AC103"/>
    <mergeCell ref="AB104:AC104"/>
    <mergeCell ref="V102:W102"/>
    <mergeCell ref="V103:W103"/>
    <mergeCell ref="V104:W104"/>
    <mergeCell ref="X102:Y102"/>
    <mergeCell ref="X103:Y103"/>
    <mergeCell ref="X104:Y104"/>
    <mergeCell ref="R102:S102"/>
    <mergeCell ref="R103:S103"/>
    <mergeCell ref="R104:S104"/>
    <mergeCell ref="T102:U102"/>
    <mergeCell ref="T103:U103"/>
    <mergeCell ref="T104:U104"/>
    <mergeCell ref="N104:O104"/>
    <mergeCell ref="P102:Q102"/>
    <mergeCell ref="P103:Q103"/>
    <mergeCell ref="P104:Q104"/>
    <mergeCell ref="L102:M102"/>
    <mergeCell ref="L103:M103"/>
    <mergeCell ref="N102:O102"/>
    <mergeCell ref="N103:O103"/>
    <mergeCell ref="L104:M104"/>
    <mergeCell ref="D104:E104"/>
    <mergeCell ref="F104:G104"/>
    <mergeCell ref="H104:I104"/>
    <mergeCell ref="J104:K104"/>
    <mergeCell ref="A104:C104"/>
    <mergeCell ref="F102:G102"/>
    <mergeCell ref="D102:E102"/>
    <mergeCell ref="D103:E103"/>
    <mergeCell ref="F103:G103"/>
    <mergeCell ref="J102:K102"/>
    <mergeCell ref="J103:K103"/>
    <mergeCell ref="A102:C102"/>
    <mergeCell ref="A103:C103"/>
    <mergeCell ref="H102:I102"/>
    <mergeCell ref="H103:I10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9.57421875" style="0" customWidth="1"/>
    <col min="3" max="5" width="9.57421875" style="0" bestFit="1" customWidth="1"/>
    <col min="6" max="6" width="10.57421875" style="0" bestFit="1" customWidth="1"/>
  </cols>
  <sheetData>
    <row r="1" spans="1:42" ht="12.75">
      <c r="A1" s="95"/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1:42" ht="12.75">
      <c r="A2" s="95"/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1:42" ht="12.75">
      <c r="A3" s="95"/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1:42" ht="12.75">
      <c r="A4" s="95"/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1:42" ht="12.75">
      <c r="A5" s="95"/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1:42" ht="12.75">
      <c r="A6" s="95"/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1:42" ht="12.75">
      <c r="A7" s="95"/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1:42" ht="12.75">
      <c r="A8" s="95"/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1:42" ht="12.75">
      <c r="A9" s="95"/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1:42" ht="12.75">
      <c r="A10" s="95"/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1:42" ht="12.75">
      <c r="A11" s="95"/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1:42" ht="12.75">
      <c r="A12" s="95"/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1:42" ht="12.75">
      <c r="A13" s="95"/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1:42" ht="12.75">
      <c r="A14" s="95"/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1:42" ht="12.75">
      <c r="A15" s="95"/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1:42" ht="12.75">
      <c r="A16" s="95"/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1:42" ht="12.75">
      <c r="A17" s="95"/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1:42" ht="12.75">
      <c r="A18" s="95"/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1:42" ht="12.75">
      <c r="A19" s="95"/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1:42" ht="12.75">
      <c r="A20" s="95"/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1:42" ht="12.75">
      <c r="A21" s="95"/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1:42" ht="12.75">
      <c r="A22" s="95"/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1:42" ht="12.75">
      <c r="A23" s="95"/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1:42" ht="12.75">
      <c r="A24" s="95"/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1:42" ht="12.75">
      <c r="A25" s="95"/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1:42" ht="12.75">
      <c r="A26" s="95"/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1:42" ht="12.75">
      <c r="A27" s="95"/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1:42" ht="12.75">
      <c r="A28" s="95"/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1:42" ht="12.75">
      <c r="A29" s="95"/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1:42" ht="12.75">
      <c r="A30" s="95"/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1:42" ht="12.75">
      <c r="A31" s="95"/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1:42" ht="12.75">
      <c r="A32" s="95"/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1:42" ht="12.75">
      <c r="A33" s="95"/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1:42" ht="12.75">
      <c r="A34" s="95"/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1:42" ht="12.75">
      <c r="A35" s="95"/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1:42" ht="12.75">
      <c r="A36" s="95"/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1:42" ht="12.75">
      <c r="A37" s="95"/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1:42" ht="12.75">
      <c r="A38" s="95"/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1:42" ht="12.75">
      <c r="A39" s="95"/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1:42" ht="12.75">
      <c r="A40" s="95"/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1:42" ht="12.75">
      <c r="A41" s="95"/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1:42" ht="12.75">
      <c r="A42" s="95"/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1:42" ht="12.75">
      <c r="A43" s="95"/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1:42" ht="12.75">
      <c r="A44" s="95"/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1:42" ht="12.75">
      <c r="A45" s="95"/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1:42" ht="12.75">
      <c r="A46" s="95"/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1:42" ht="12.75">
      <c r="A47" s="95"/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1:42" ht="12.75">
      <c r="A48" s="95"/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1:42" ht="12.75">
      <c r="A49" s="95"/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1:42" ht="12.75">
      <c r="A50" s="95"/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1:42" ht="12.75">
      <c r="A51" s="95"/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1:42" ht="12.75">
      <c r="A52" s="95"/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1:42" ht="12.75">
      <c r="A53" s="95"/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1:42" ht="12.75">
      <c r="A54" s="95"/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1:42" ht="12.75">
      <c r="A55" s="95"/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1:42" ht="12.75">
      <c r="A56" s="95"/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1:42" ht="12.75">
      <c r="A57" s="95"/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1:42" ht="12.75">
      <c r="A58" s="95"/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1:42" ht="12.75">
      <c r="A59" s="95"/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1:42" ht="12.75">
      <c r="A60" s="95"/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1:42" ht="12.75">
      <c r="A61" s="95"/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1:42" ht="12.75">
      <c r="A62" s="95"/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1:42" ht="12.75">
      <c r="A63" s="95"/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1:42" ht="12.75">
      <c r="A64" s="95"/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1:42" ht="12.75">
      <c r="A65" s="95"/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1:42" ht="12.75">
      <c r="A66" s="95"/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1:42" ht="12.75">
      <c r="A67" s="95"/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1:42" ht="12.75">
      <c r="A68" s="95"/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1:42" ht="12.75">
      <c r="A69" s="95"/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1:42" ht="12.75">
      <c r="A70" s="95"/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1:42" ht="12.75">
      <c r="A71" s="95"/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1:42" ht="12.75">
      <c r="A72" s="95"/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1:42" ht="12.75">
      <c r="A73" s="95"/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1:42" ht="12.75">
      <c r="A74" s="95"/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1:42" ht="12.75">
      <c r="A75" s="95"/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1:42" ht="12.75">
      <c r="A76" s="95"/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1:42" ht="12.75">
      <c r="A77" s="95"/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1:42" ht="12.75">
      <c r="A78" s="95"/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1:42" ht="12.75">
      <c r="A79" s="95"/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1:42" ht="12.75">
      <c r="A80" s="95"/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1:42" ht="12.75">
      <c r="A81" s="95"/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1:42" ht="12.75">
      <c r="A82" s="95"/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1:42" ht="12.75">
      <c r="A83" s="95"/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1:42" ht="12.75">
      <c r="A84" s="95"/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1:42" ht="12.75">
      <c r="A85" s="95"/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1:42" ht="12.75">
      <c r="A86" s="95"/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1:42" ht="12.75">
      <c r="A87" s="95"/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1:42" ht="12.75">
      <c r="A88" s="95"/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1:42" ht="12.75">
      <c r="A89" s="95"/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1:42" ht="12.75">
      <c r="A90" s="95"/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1:42" ht="12.75">
      <c r="A91" s="95"/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1:42" ht="12.75">
      <c r="A92" s="95"/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1:42" ht="12.75">
      <c r="A93" s="95"/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1:42" ht="12.75">
      <c r="A94" s="95"/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1:42" ht="12.75">
      <c r="A95" s="95"/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1:42" ht="12.75">
      <c r="A96" s="95"/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1:42" ht="12.75">
      <c r="A97" s="95"/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1:42" ht="12.75">
      <c r="A98" s="95"/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1:42" ht="12.75">
      <c r="A99" s="95"/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2021-12-09T11:13:58Z</dcterms:modified>
  <cp:category/>
  <cp:version/>
  <cp:contentType/>
  <cp:contentStatus/>
</cp:coreProperties>
</file>