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12435" activeTab="0"/>
  </bookViews>
  <sheets>
    <sheet name="Ballas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 P Edison</author>
  </authors>
  <commentList>
    <comment ref="D3" authorId="0">
      <text>
        <r>
          <rPr>
            <b/>
            <sz val="8"/>
            <rFont val="Tahoma"/>
            <family val="2"/>
          </rPr>
          <t>This is the bare weight of the Model without Ballast or Spacers but otherwise in flying trim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Actual position of CG without Ballast but with spacers and the Nose Weight specified below
</t>
        </r>
      </text>
    </comment>
    <comment ref="D12" authorId="0">
      <text>
        <r>
          <rPr>
            <b/>
            <sz val="8"/>
            <rFont val="Tahoma"/>
            <family val="0"/>
          </rPr>
          <t>This figure can usually be found on the Manufacturers Data Sheet for your particular model</t>
        </r>
      </text>
    </comment>
    <comment ref="C35" authorId="0">
      <text>
        <r>
          <rPr>
            <b/>
            <sz val="8"/>
            <rFont val="Tahoma"/>
            <family val="0"/>
          </rPr>
          <t>Make sure all Ballast positons are showing '0'. 
Once entered into cell X27, this figure is fixed. 
Changes to this correction factor when ballast positions are filled should be ignored.</t>
        </r>
      </text>
    </comment>
  </commentList>
</comments>
</file>

<file path=xl/sharedStrings.xml><?xml version="1.0" encoding="utf-8"?>
<sst xmlns="http://schemas.openxmlformats.org/spreadsheetml/2006/main" count="54" uniqueCount="42">
  <si>
    <t>A)   Weight of Model</t>
  </si>
  <si>
    <t>g</t>
  </si>
  <si>
    <t>Wing Ballast</t>
  </si>
  <si>
    <t>B)   CG Position ( From LE )</t>
  </si>
  <si>
    <t>mm</t>
  </si>
  <si>
    <t>No Used</t>
  </si>
  <si>
    <t>Wt Each</t>
  </si>
  <si>
    <t>C)   Weight of Ballast</t>
  </si>
  <si>
    <t>D)   Weight of Spacers</t>
  </si>
  <si>
    <t>E)   Length of Ballast</t>
  </si>
  <si>
    <t>F)   Max No of Ballast Weights ( per Tube )</t>
  </si>
  <si>
    <t>No</t>
  </si>
  <si>
    <t>G)   Distance from CG to First Ballast</t>
  </si>
  <si>
    <t>H)   Position of Nose Weight</t>
  </si>
  <si>
    <t>I)    Amount of Nose Weight</t>
  </si>
  <si>
    <t>J)   Wing Area</t>
  </si>
  <si>
    <t>dm2</t>
  </si>
  <si>
    <t>(F) Ballast Positions ( Tube No 1 )</t>
  </si>
  <si>
    <t>Front</t>
  </si>
  <si>
    <t>Rear</t>
  </si>
  <si>
    <t>Wt of Ballast</t>
  </si>
  <si>
    <t>Nose</t>
  </si>
  <si>
    <t>Weight</t>
  </si>
  <si>
    <t>C</t>
  </si>
  <si>
    <t>G</t>
  </si>
  <si>
    <t>Balance</t>
  </si>
  <si>
    <t>CW Moments</t>
  </si>
  <si>
    <t>(F)  Ballast Positions ( Tube No 2 )</t>
  </si>
  <si>
    <t>(E)</t>
  </si>
  <si>
    <t>(A)</t>
  </si>
  <si>
    <t>(H)</t>
  </si>
  <si>
    <t>(G)</t>
  </si>
  <si>
    <t>New Weight</t>
  </si>
  <si>
    <t>(B)</t>
  </si>
  <si>
    <t>(I)</t>
  </si>
  <si>
    <t>Correction factor</t>
  </si>
  <si>
    <t>New CG Position</t>
  </si>
  <si>
    <t>Wing Loading</t>
  </si>
  <si>
    <t>oz/ft2</t>
  </si>
  <si>
    <t>CG</t>
  </si>
  <si>
    <t>Correction Factor ( Enter this value in cell X27)</t>
  </si>
  <si>
    <t>Figures shown in the above table are taken from a Pike WR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</si>
</sst>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1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40"/>
      <name val="Arial"/>
      <family val="2"/>
    </font>
    <font>
      <sz val="10"/>
      <color indexed="49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10"/>
      </right>
      <top style="medium"/>
      <bottom style="thin"/>
    </border>
    <border>
      <left style="medium"/>
      <right style="medium">
        <color indexed="10"/>
      </right>
      <top style="thin"/>
      <bottom style="thin"/>
    </border>
    <border>
      <left style="medium"/>
      <right style="medium">
        <color indexed="10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1" fontId="7" fillId="0" borderId="31" xfId="0" applyNumberFormat="1" applyFont="1" applyBorder="1" applyAlignment="1">
      <alignment horizontal="left" vertical="center"/>
    </xf>
    <xf numFmtId="2" fontId="7" fillId="0" borderId="28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0" fillId="0" borderId="3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26</xdr:row>
      <xdr:rowOff>142875</xdr:rowOff>
    </xdr:from>
    <xdr:to>
      <xdr:col>12</xdr:col>
      <xdr:colOff>85725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05350" y="4524375"/>
          <a:ext cx="4352925" cy="361950"/>
        </a:xfrm>
        <a:custGeom>
          <a:pathLst>
            <a:path h="36" w="457">
              <a:moveTo>
                <a:pt x="1" y="22"/>
              </a:moveTo>
              <a:cubicBezTo>
                <a:pt x="0" y="17"/>
                <a:pt x="22" y="4"/>
                <a:pt x="54" y="2"/>
              </a:cubicBezTo>
              <a:cubicBezTo>
                <a:pt x="86" y="0"/>
                <a:pt x="128" y="3"/>
                <a:pt x="194" y="7"/>
              </a:cubicBezTo>
              <a:cubicBezTo>
                <a:pt x="260" y="11"/>
                <a:pt x="437" y="24"/>
                <a:pt x="447" y="28"/>
              </a:cubicBezTo>
              <a:cubicBezTo>
                <a:pt x="457" y="32"/>
                <a:pt x="319" y="30"/>
                <a:pt x="255" y="31"/>
              </a:cubicBezTo>
              <a:cubicBezTo>
                <a:pt x="191" y="32"/>
                <a:pt x="104" y="36"/>
                <a:pt x="62" y="34"/>
              </a:cubicBezTo>
              <a:cubicBezTo>
                <a:pt x="20" y="32"/>
                <a:pt x="1" y="27"/>
                <a:pt x="1" y="22"/>
              </a:cubicBezTo>
              <a:close/>
            </a:path>
          </a:pathLst>
        </a:custGeom>
        <a:noFill/>
        <a:ln w="254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1500" y="2552700"/>
          <a:ext cx="2914650" cy="495300"/>
        </a:xfrm>
        <a:prstGeom prst="rightArrow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71500" y="3543300"/>
          <a:ext cx="2914650" cy="495300"/>
        </a:xfrm>
        <a:prstGeom prst="rightArrow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27</xdr:row>
      <xdr:rowOff>114300</xdr:rowOff>
    </xdr:from>
    <xdr:to>
      <xdr:col>7</xdr:col>
      <xdr:colOff>542925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972175" y="4657725"/>
          <a:ext cx="495300" cy="52387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7</xdr:col>
      <xdr:colOff>295275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95675" y="43815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3486150" y="40386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3</xdr:col>
      <xdr:colOff>0</xdr:colOff>
      <xdr:row>17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1500" y="2705100"/>
          <a:ext cx="2914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"1" if Ballast Present, "0" to 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1500" y="3705225"/>
          <a:ext cx="2914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"1" if Ballast Present, "0" to Clear</a:t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4</xdr:col>
      <xdr:colOff>9525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3495675" y="4038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7</xdr:col>
      <xdr:colOff>304800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4705350" y="47148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133350</xdr:rowOff>
    </xdr:from>
    <xdr:to>
      <xdr:col>7</xdr:col>
      <xdr:colOff>295275</xdr:colOff>
      <xdr:row>31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6219825" y="43434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25</xdr:row>
      <xdr:rowOff>152400</xdr:rowOff>
    </xdr:from>
    <xdr:to>
      <xdr:col>2</xdr:col>
      <xdr:colOff>161925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419100" y="4362450"/>
          <a:ext cx="314325" cy="3333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26</xdr:row>
      <xdr:rowOff>0</xdr:rowOff>
    </xdr:from>
    <xdr:to>
      <xdr:col>2</xdr:col>
      <xdr:colOff>2895600</xdr:colOff>
      <xdr:row>26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61975" y="43815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485775</xdr:colOff>
      <xdr:row>12</xdr:row>
      <xdr:rowOff>9525</xdr:rowOff>
    </xdr:from>
    <xdr:to>
      <xdr:col>30</xdr:col>
      <xdr:colOff>123825</xdr:colOff>
      <xdr:row>13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9230975" y="2066925"/>
          <a:ext cx="247650" cy="285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12</xdr:row>
      <xdr:rowOff>38100</xdr:rowOff>
    </xdr:from>
    <xdr:to>
      <xdr:col>36</xdr:col>
      <xdr:colOff>123825</xdr:colOff>
      <xdr:row>13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22888575" y="2095500"/>
          <a:ext cx="247650" cy="285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12</xdr:row>
      <xdr:rowOff>38100</xdr:rowOff>
    </xdr:from>
    <xdr:to>
      <xdr:col>33</xdr:col>
      <xdr:colOff>123825</xdr:colOff>
      <xdr:row>13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21059775" y="2095500"/>
          <a:ext cx="247650" cy="285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32</xdr:col>
      <xdr:colOff>600075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19354800" y="1714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21193125" y="1714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0</xdr:rowOff>
    </xdr:from>
    <xdr:to>
      <xdr:col>36</xdr:col>
      <xdr:colOff>19050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>
          <a:off x="19373850" y="13716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30</xdr:row>
      <xdr:rowOff>9525</xdr:rowOff>
    </xdr:from>
    <xdr:to>
      <xdr:col>3</xdr:col>
      <xdr:colOff>0</xdr:colOff>
      <xdr:row>30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66800" y="5067300"/>
          <a:ext cx="2419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Nose Wt to Restore CG Position</a:t>
          </a:r>
        </a:p>
      </xdr:txBody>
    </xdr:sp>
    <xdr:clientData/>
  </xdr:twoCellAnchor>
  <xdr:twoCellAnchor>
    <xdr:from>
      <xdr:col>29</xdr:col>
      <xdr:colOff>485775</xdr:colOff>
      <xdr:row>43</xdr:row>
      <xdr:rowOff>9525</xdr:rowOff>
    </xdr:from>
    <xdr:to>
      <xdr:col>30</xdr:col>
      <xdr:colOff>123825</xdr:colOff>
      <xdr:row>44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19230975" y="7219950"/>
          <a:ext cx="24765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43</xdr:row>
      <xdr:rowOff>38100</xdr:rowOff>
    </xdr:from>
    <xdr:to>
      <xdr:col>36</xdr:col>
      <xdr:colOff>123825</xdr:colOff>
      <xdr:row>44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22888575" y="7248525"/>
          <a:ext cx="24765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43</xdr:row>
      <xdr:rowOff>38100</xdr:rowOff>
    </xdr:from>
    <xdr:to>
      <xdr:col>33</xdr:col>
      <xdr:colOff>123825</xdr:colOff>
      <xdr:row>44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21059775" y="7248525"/>
          <a:ext cx="24765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32</xdr:col>
      <xdr:colOff>600075</xdr:colOff>
      <xdr:row>42</xdr:row>
      <xdr:rowOff>0</xdr:rowOff>
    </xdr:to>
    <xdr:sp>
      <xdr:nvSpPr>
        <xdr:cNvPr id="24" name="Line 24"/>
        <xdr:cNvSpPr>
          <a:spLocks/>
        </xdr:cNvSpPr>
      </xdr:nvSpPr>
      <xdr:spPr>
        <a:xfrm>
          <a:off x="19354800" y="7048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21193125" y="7048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40</xdr:row>
      <xdr:rowOff>0</xdr:rowOff>
    </xdr:from>
    <xdr:to>
      <xdr:col>36</xdr:col>
      <xdr:colOff>19050</xdr:colOff>
      <xdr:row>40</xdr:row>
      <xdr:rowOff>0</xdr:rowOff>
    </xdr:to>
    <xdr:sp>
      <xdr:nvSpPr>
        <xdr:cNvPr id="26" name="Line 26"/>
        <xdr:cNvSpPr>
          <a:spLocks/>
        </xdr:cNvSpPr>
      </xdr:nvSpPr>
      <xdr:spPr>
        <a:xfrm>
          <a:off x="19373850" y="67246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485775</xdr:colOff>
      <xdr:row>74</xdr:row>
      <xdr:rowOff>9525</xdr:rowOff>
    </xdr:from>
    <xdr:to>
      <xdr:col>30</xdr:col>
      <xdr:colOff>123825</xdr:colOff>
      <xdr:row>75</xdr:row>
      <xdr:rowOff>123825</xdr:rowOff>
    </xdr:to>
    <xdr:sp>
      <xdr:nvSpPr>
        <xdr:cNvPr id="27" name="AutoShape 27"/>
        <xdr:cNvSpPr>
          <a:spLocks/>
        </xdr:cNvSpPr>
      </xdr:nvSpPr>
      <xdr:spPr>
        <a:xfrm>
          <a:off x="19230975" y="12249150"/>
          <a:ext cx="24765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74</xdr:row>
      <xdr:rowOff>38100</xdr:rowOff>
    </xdr:from>
    <xdr:to>
      <xdr:col>36</xdr:col>
      <xdr:colOff>123825</xdr:colOff>
      <xdr:row>75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22888575" y="12277725"/>
          <a:ext cx="24765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74</xdr:row>
      <xdr:rowOff>38100</xdr:rowOff>
    </xdr:from>
    <xdr:to>
      <xdr:col>33</xdr:col>
      <xdr:colOff>123825</xdr:colOff>
      <xdr:row>75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21059775" y="12277725"/>
          <a:ext cx="24765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0</xdr:rowOff>
    </xdr:from>
    <xdr:to>
      <xdr:col>32</xdr:col>
      <xdr:colOff>600075</xdr:colOff>
      <xdr:row>73</xdr:row>
      <xdr:rowOff>0</xdr:rowOff>
    </xdr:to>
    <xdr:sp>
      <xdr:nvSpPr>
        <xdr:cNvPr id="30" name="Line 30"/>
        <xdr:cNvSpPr>
          <a:spLocks/>
        </xdr:cNvSpPr>
      </xdr:nvSpPr>
      <xdr:spPr>
        <a:xfrm>
          <a:off x="19354800" y="120777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73</xdr:row>
      <xdr:rowOff>0</xdr:rowOff>
    </xdr:from>
    <xdr:to>
      <xdr:col>36</xdr:col>
      <xdr:colOff>0</xdr:colOff>
      <xdr:row>73</xdr:row>
      <xdr:rowOff>0</xdr:rowOff>
    </xdr:to>
    <xdr:sp>
      <xdr:nvSpPr>
        <xdr:cNvPr id="31" name="Line 31"/>
        <xdr:cNvSpPr>
          <a:spLocks/>
        </xdr:cNvSpPr>
      </xdr:nvSpPr>
      <xdr:spPr>
        <a:xfrm>
          <a:off x="21193125" y="120777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71</xdr:row>
      <xdr:rowOff>0</xdr:rowOff>
    </xdr:from>
    <xdr:to>
      <xdr:col>36</xdr:col>
      <xdr:colOff>19050</xdr:colOff>
      <xdr:row>71</xdr:row>
      <xdr:rowOff>0</xdr:rowOff>
    </xdr:to>
    <xdr:sp>
      <xdr:nvSpPr>
        <xdr:cNvPr id="32" name="Line 32"/>
        <xdr:cNvSpPr>
          <a:spLocks/>
        </xdr:cNvSpPr>
      </xdr:nvSpPr>
      <xdr:spPr>
        <a:xfrm>
          <a:off x="19373850" y="117538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35"/>
  <sheetViews>
    <sheetView tabSelected="1" zoomScale="116" zoomScaleNormal="116" workbookViewId="0" topLeftCell="A1">
      <selection activeCell="D9" sqref="D9"/>
    </sheetView>
  </sheetViews>
  <sheetFormatPr defaultColWidth="9.140625" defaultRowHeight="12.75"/>
  <cols>
    <col min="1" max="1" width="3.8515625" style="5" customWidth="1"/>
    <col min="2" max="2" width="4.7109375" style="6" customWidth="1"/>
    <col min="3" max="3" width="43.7109375" style="5" customWidth="1"/>
    <col min="4" max="13" width="9.140625" style="5" customWidth="1"/>
    <col min="14" max="15" width="4.7109375" style="5" customWidth="1"/>
    <col min="16" max="29" width="9.140625" style="5" customWidth="1"/>
    <col min="30" max="36" width="9.140625" style="6" customWidth="1"/>
    <col min="37" max="16384" width="9.140625" style="5" customWidth="1"/>
  </cols>
  <sheetData>
    <row r="1" ht="13.5" thickBot="1"/>
    <row r="2" spans="2:15" ht="13.5" thickBot="1">
      <c r="B2" s="1"/>
      <c r="C2" s="2"/>
      <c r="D2" s="2"/>
      <c r="E2" s="2"/>
      <c r="F2" s="2"/>
      <c r="G2" s="3"/>
      <c r="H2" s="3"/>
      <c r="I2" s="3"/>
      <c r="J2" s="3"/>
      <c r="K2" s="3"/>
      <c r="L2" s="3"/>
      <c r="M2" s="2"/>
      <c r="N2" s="4"/>
      <c r="O2" s="10"/>
    </row>
    <row r="3" spans="2:15" ht="13.5" thickBot="1">
      <c r="B3" s="7"/>
      <c r="C3" s="68" t="s">
        <v>0</v>
      </c>
      <c r="D3" s="8">
        <v>2530</v>
      </c>
      <c r="E3" s="9" t="s">
        <v>1</v>
      </c>
      <c r="F3" s="10"/>
      <c r="G3" s="11" t="s">
        <v>2</v>
      </c>
      <c r="H3" s="12"/>
      <c r="I3" s="10"/>
      <c r="J3" s="10"/>
      <c r="K3" s="10"/>
      <c r="L3" s="10"/>
      <c r="M3" s="10"/>
      <c r="N3" s="13"/>
      <c r="O3" s="10"/>
    </row>
    <row r="4" spans="2:15" ht="13.5" thickBot="1">
      <c r="B4" s="7"/>
      <c r="C4" s="69" t="s">
        <v>3</v>
      </c>
      <c r="D4" s="8">
        <v>105</v>
      </c>
      <c r="E4" s="9" t="s">
        <v>4</v>
      </c>
      <c r="F4" s="10"/>
      <c r="G4" s="14" t="s">
        <v>5</v>
      </c>
      <c r="H4" s="15" t="s">
        <v>6</v>
      </c>
      <c r="I4" s="10"/>
      <c r="J4" s="10"/>
      <c r="K4" s="10"/>
      <c r="L4" s="10"/>
      <c r="M4" s="10"/>
      <c r="N4" s="13"/>
      <c r="O4" s="10"/>
    </row>
    <row r="5" spans="2:15" ht="13.5" customHeight="1" thickBot="1">
      <c r="B5" s="7"/>
      <c r="C5" s="69" t="s">
        <v>7</v>
      </c>
      <c r="D5" s="8">
        <v>52</v>
      </c>
      <c r="E5" s="9" t="s">
        <v>1</v>
      </c>
      <c r="F5" s="10"/>
      <c r="G5" s="16">
        <v>0</v>
      </c>
      <c r="H5" s="17">
        <v>52</v>
      </c>
      <c r="I5" s="10"/>
      <c r="J5" s="18">
        <f>(COUNTIF(D17:M17,"=1"))+(COUNTIF(D23:M23,"=1")+$G$5)</f>
        <v>0</v>
      </c>
      <c r="K5" s="10"/>
      <c r="L5" s="10"/>
      <c r="M5" s="10"/>
      <c r="N5" s="13"/>
      <c r="O5" s="10"/>
    </row>
    <row r="6" spans="2:15" ht="13.5" customHeight="1" thickBot="1">
      <c r="B6" s="7"/>
      <c r="C6" s="69" t="s">
        <v>8</v>
      </c>
      <c r="D6" s="8">
        <v>4</v>
      </c>
      <c r="E6" s="9" t="s">
        <v>1</v>
      </c>
      <c r="F6" s="10"/>
      <c r="G6" s="10"/>
      <c r="H6" s="10"/>
      <c r="I6" s="10"/>
      <c r="J6" s="19"/>
      <c r="K6" s="10"/>
      <c r="L6" s="10"/>
      <c r="M6" s="10"/>
      <c r="N6" s="13"/>
      <c r="O6" s="10"/>
    </row>
    <row r="7" spans="2:15" ht="13.5" thickBot="1">
      <c r="B7" s="7"/>
      <c r="C7" s="69" t="s">
        <v>9</v>
      </c>
      <c r="D7" s="8">
        <v>30</v>
      </c>
      <c r="E7" s="9" t="s">
        <v>4</v>
      </c>
      <c r="F7" s="10"/>
      <c r="G7" s="10"/>
      <c r="H7" s="10"/>
      <c r="I7" s="10"/>
      <c r="J7" s="10"/>
      <c r="K7" s="10"/>
      <c r="L7" s="10"/>
      <c r="M7" s="10"/>
      <c r="N7" s="13"/>
      <c r="O7" s="10"/>
    </row>
    <row r="8" spans="2:33" ht="13.5" thickBot="1">
      <c r="B8" s="7"/>
      <c r="C8" s="69" t="s">
        <v>10</v>
      </c>
      <c r="D8" s="8">
        <v>9</v>
      </c>
      <c r="E8" s="9" t="s">
        <v>11</v>
      </c>
      <c r="F8" s="10"/>
      <c r="G8" s="10"/>
      <c r="H8" s="10"/>
      <c r="I8" s="10"/>
      <c r="J8" s="10"/>
      <c r="K8" s="10"/>
      <c r="L8" s="10"/>
      <c r="M8" s="10"/>
      <c r="N8" s="13"/>
      <c r="O8" s="10"/>
      <c r="AG8" s="20">
        <f>AF10+AI10</f>
        <v>452.2881915772089</v>
      </c>
    </row>
    <row r="9" spans="2:15" ht="13.5" thickBot="1">
      <c r="B9" s="7"/>
      <c r="C9" s="69" t="s">
        <v>12</v>
      </c>
      <c r="D9" s="8">
        <v>158</v>
      </c>
      <c r="E9" s="9" t="s">
        <v>4</v>
      </c>
      <c r="F9" s="10"/>
      <c r="G9" s="10"/>
      <c r="H9" s="10"/>
      <c r="I9" s="10"/>
      <c r="J9" s="10"/>
      <c r="K9" s="10"/>
      <c r="L9" s="10"/>
      <c r="M9" s="10"/>
      <c r="N9" s="13"/>
      <c r="O9" s="10"/>
    </row>
    <row r="10" spans="2:35" ht="13.5" thickBot="1">
      <c r="B10" s="7"/>
      <c r="C10" s="69" t="s">
        <v>13</v>
      </c>
      <c r="D10" s="21">
        <v>263</v>
      </c>
      <c r="E10" s="22" t="s">
        <v>4</v>
      </c>
      <c r="F10" s="10"/>
      <c r="G10" s="10"/>
      <c r="H10" s="10"/>
      <c r="I10" s="10"/>
      <c r="J10" s="10"/>
      <c r="K10" s="10"/>
      <c r="L10" s="10"/>
      <c r="M10" s="10"/>
      <c r="N10" s="13"/>
      <c r="O10" s="10"/>
      <c r="AF10" s="20">
        <f>$D$10+AB31</f>
        <v>421</v>
      </c>
      <c r="AI10" s="20">
        <f>$D$11*($D$10+AB31)/(AA31-$D$11)</f>
        <v>31.288191577208917</v>
      </c>
    </row>
    <row r="11" spans="2:35" ht="13.5" thickBot="1">
      <c r="B11" s="7"/>
      <c r="C11" s="69" t="s">
        <v>14</v>
      </c>
      <c r="D11" s="21">
        <v>180</v>
      </c>
      <c r="E11" s="22" t="s">
        <v>1</v>
      </c>
      <c r="F11" s="10"/>
      <c r="G11" s="10"/>
      <c r="H11" s="10"/>
      <c r="I11" s="10"/>
      <c r="J11" s="10"/>
      <c r="K11" s="10"/>
      <c r="L11" s="10"/>
      <c r="M11" s="10"/>
      <c r="N11" s="13"/>
      <c r="O11" s="10"/>
      <c r="AF11" s="23">
        <f>($D$9+$D$10)</f>
        <v>421</v>
      </c>
      <c r="AI11" s="23">
        <f>AG8-($D$9+$D$10)</f>
        <v>31.28819157720892</v>
      </c>
    </row>
    <row r="12" spans="2:35" ht="13.5" thickBot="1">
      <c r="B12" s="7"/>
      <c r="C12" s="70" t="s">
        <v>15</v>
      </c>
      <c r="D12" s="21">
        <v>64</v>
      </c>
      <c r="E12" s="22" t="s">
        <v>16</v>
      </c>
      <c r="F12" s="10"/>
      <c r="G12" s="10"/>
      <c r="H12" s="10"/>
      <c r="I12" s="10"/>
      <c r="J12" s="10"/>
      <c r="K12" s="10"/>
      <c r="L12" s="10"/>
      <c r="M12" s="10"/>
      <c r="N12" s="13"/>
      <c r="O12" s="10"/>
      <c r="AF12" s="23"/>
      <c r="AI12" s="23"/>
    </row>
    <row r="13" spans="2:15" ht="13.5" thickBot="1"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  <c r="O13" s="10"/>
    </row>
    <row r="14" spans="2:15" ht="12.75">
      <c r="B14" s="7"/>
      <c r="C14" s="10"/>
      <c r="D14" s="24" t="s">
        <v>17</v>
      </c>
      <c r="E14" s="25"/>
      <c r="F14" s="25"/>
      <c r="G14" s="25"/>
      <c r="H14" s="25"/>
      <c r="I14" s="25"/>
      <c r="J14" s="25"/>
      <c r="K14" s="25"/>
      <c r="L14" s="25"/>
      <c r="M14" s="26"/>
      <c r="N14" s="13"/>
      <c r="O14" s="10"/>
    </row>
    <row r="15" spans="2:36" ht="12.75">
      <c r="B15" s="7"/>
      <c r="C15" s="10"/>
      <c r="D15" s="27" t="s">
        <v>18</v>
      </c>
      <c r="E15" s="28"/>
      <c r="F15" s="28"/>
      <c r="G15" s="28"/>
      <c r="H15" s="28"/>
      <c r="I15" s="28"/>
      <c r="J15" s="28"/>
      <c r="K15" s="28"/>
      <c r="L15" s="28"/>
      <c r="M15" s="29" t="s">
        <v>19</v>
      </c>
      <c r="N15" s="13"/>
      <c r="O15" s="10"/>
      <c r="AD15" s="6">
        <f>$D$11</f>
        <v>180</v>
      </c>
      <c r="AG15" s="6">
        <f>AA31</f>
        <v>2602</v>
      </c>
      <c r="AJ15" s="6">
        <f>AA31-$D$11</f>
        <v>2422</v>
      </c>
    </row>
    <row r="16" spans="2:36" ht="12.75">
      <c r="B16" s="7"/>
      <c r="C16" s="10"/>
      <c r="D16" s="30">
        <v>1</v>
      </c>
      <c r="E16" s="31">
        <v>2</v>
      </c>
      <c r="F16" s="31">
        <v>3</v>
      </c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2">
        <v>10</v>
      </c>
      <c r="N16" s="13"/>
      <c r="O16" s="10"/>
      <c r="AD16" s="33">
        <f>AI11*AJ16/AF11</f>
        <v>180</v>
      </c>
      <c r="AG16" s="33">
        <f>AJ16+AD16</f>
        <v>2602</v>
      </c>
      <c r="AJ16" s="34">
        <f>AJ15</f>
        <v>2422</v>
      </c>
    </row>
    <row r="17" spans="2:37" ht="13.5" thickBot="1">
      <c r="B17" s="7"/>
      <c r="C17" s="10"/>
      <c r="D17" s="35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>
        <v>0</v>
      </c>
      <c r="N17" s="13"/>
      <c r="O17" s="10"/>
      <c r="P17" s="38">
        <f>IF(D16&lt;=$D$8,IF(D17=0,$D$6,$D$5),0)</f>
        <v>4</v>
      </c>
      <c r="Q17" s="39">
        <f aca="true" t="shared" si="0" ref="Q17:X17">IF(E16&lt;=$D$8,IF(E17=0,$D$6,$D$5),0)</f>
        <v>4</v>
      </c>
      <c r="R17" s="39">
        <f t="shared" si="0"/>
        <v>4</v>
      </c>
      <c r="S17" s="39">
        <f t="shared" si="0"/>
        <v>4</v>
      </c>
      <c r="T17" s="39">
        <f t="shared" si="0"/>
        <v>4</v>
      </c>
      <c r="U17" s="39">
        <f t="shared" si="0"/>
        <v>4</v>
      </c>
      <c r="V17" s="39">
        <f t="shared" si="0"/>
        <v>4</v>
      </c>
      <c r="W17" s="39">
        <f t="shared" si="0"/>
        <v>4</v>
      </c>
      <c r="X17" s="39">
        <f t="shared" si="0"/>
        <v>4</v>
      </c>
      <c r="Y17" s="39">
        <f>IF(M16&lt;=$D$8,IF(M17=0,$D$6,$D$5),0)</f>
        <v>0</v>
      </c>
      <c r="AA17" s="39">
        <f>SUM(P17:Y17)</f>
        <v>36</v>
      </c>
      <c r="AB17" s="5" t="s">
        <v>20</v>
      </c>
      <c r="AD17" s="40" t="s">
        <v>21</v>
      </c>
      <c r="AE17" s="41" t="s">
        <v>22</v>
      </c>
      <c r="AG17" s="40" t="s">
        <v>23</v>
      </c>
      <c r="AH17" s="41" t="s">
        <v>24</v>
      </c>
      <c r="AJ17" s="40" t="s">
        <v>25</v>
      </c>
      <c r="AK17" s="41" t="s">
        <v>22</v>
      </c>
    </row>
    <row r="18" spans="2:25" ht="12.75"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  <c r="O18" s="10"/>
      <c r="P18" s="38">
        <f>$D$7*P17*1/2</f>
        <v>60</v>
      </c>
      <c r="Q18" s="39">
        <f>$D$7*Q17*3/2</f>
        <v>180</v>
      </c>
      <c r="R18" s="39">
        <f>$D$7*R17*5/2</f>
        <v>300</v>
      </c>
      <c r="S18" s="39">
        <f>$D$7*S17*7/2</f>
        <v>420</v>
      </c>
      <c r="T18" s="39">
        <f>$D$7*T17*9/2</f>
        <v>540</v>
      </c>
      <c r="U18" s="39">
        <f>$D$7*U17*11/2</f>
        <v>660</v>
      </c>
      <c r="V18" s="39">
        <f>$D$7*V17*13/2</f>
        <v>780</v>
      </c>
      <c r="W18" s="39">
        <f>$D$7*W17*15/2</f>
        <v>900</v>
      </c>
      <c r="X18" s="39">
        <f>$D$7*X17*17/2</f>
        <v>1020</v>
      </c>
      <c r="Y18" s="39">
        <f>$D$7*Y17*19/2</f>
        <v>0</v>
      </c>
    </row>
    <row r="19" spans="2:28" ht="13.5" thickBot="1"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0"/>
      <c r="P19" s="38">
        <f>IF(D16&lt;=$D$8,P18,0)</f>
        <v>60</v>
      </c>
      <c r="Q19" s="39">
        <f>IF(E16&lt;=$D$8,Q18,0)</f>
        <v>180</v>
      </c>
      <c r="R19" s="39">
        <f>IF(F16&lt;=$D$8,R18,0)</f>
        <v>300</v>
      </c>
      <c r="S19" s="39">
        <f>IF(G16&lt;=$D$8,S18,0)</f>
        <v>420</v>
      </c>
      <c r="T19" s="39">
        <f>IF(H16&lt;=$D$8,T18,0)</f>
        <v>540</v>
      </c>
      <c r="U19" s="39">
        <f>IF(I16&lt;=$D$8,U18,0)</f>
        <v>660</v>
      </c>
      <c r="V19" s="39">
        <f>IF(J16&lt;=$D$8,V18,0)</f>
        <v>780</v>
      </c>
      <c r="W19" s="39">
        <f>IF(K16&lt;=$D$8,W18,0)</f>
        <v>900</v>
      </c>
      <c r="X19" s="39">
        <f>IF(L16&lt;=$D$8,X18,0)</f>
        <v>1020</v>
      </c>
      <c r="Y19" s="39">
        <f>IF(L16&lt;=$D$8,Y18,0)</f>
        <v>0</v>
      </c>
      <c r="Z19" s="39">
        <f>SUM(P19:Y19)</f>
        <v>4860</v>
      </c>
      <c r="AB19" s="5" t="s">
        <v>26</v>
      </c>
    </row>
    <row r="20" spans="2:15" ht="12.75">
      <c r="B20" s="7"/>
      <c r="C20" s="10"/>
      <c r="D20" s="24" t="s">
        <v>27</v>
      </c>
      <c r="E20" s="25"/>
      <c r="F20" s="25"/>
      <c r="G20" s="25"/>
      <c r="H20" s="25"/>
      <c r="I20" s="25"/>
      <c r="J20" s="25"/>
      <c r="K20" s="25"/>
      <c r="L20" s="25"/>
      <c r="M20" s="26"/>
      <c r="N20" s="13"/>
      <c r="O20" s="10"/>
    </row>
    <row r="21" spans="2:15" ht="12.75">
      <c r="B21" s="7"/>
      <c r="C21" s="10"/>
      <c r="D21" s="27" t="s">
        <v>18</v>
      </c>
      <c r="E21" s="28"/>
      <c r="F21" s="28"/>
      <c r="G21" s="28"/>
      <c r="H21" s="28"/>
      <c r="I21" s="28"/>
      <c r="J21" s="28"/>
      <c r="K21" s="28"/>
      <c r="L21" s="28"/>
      <c r="M21" s="29" t="s">
        <v>19</v>
      </c>
      <c r="N21" s="13"/>
      <c r="O21" s="10"/>
    </row>
    <row r="22" spans="2:15" ht="12.75">
      <c r="B22" s="7"/>
      <c r="C22" s="10"/>
      <c r="D22" s="30">
        <v>1</v>
      </c>
      <c r="E22" s="31">
        <v>2</v>
      </c>
      <c r="F22" s="31">
        <v>3</v>
      </c>
      <c r="G22" s="31">
        <v>4</v>
      </c>
      <c r="H22" s="31">
        <v>5</v>
      </c>
      <c r="I22" s="31">
        <v>6</v>
      </c>
      <c r="J22" s="31">
        <v>7</v>
      </c>
      <c r="K22" s="31">
        <v>8</v>
      </c>
      <c r="L22" s="31">
        <v>9</v>
      </c>
      <c r="M22" s="32">
        <v>10</v>
      </c>
      <c r="N22" s="13"/>
      <c r="O22" s="10"/>
    </row>
    <row r="23" spans="2:28" ht="13.5" thickBot="1">
      <c r="B23" s="7"/>
      <c r="C23" s="10"/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7">
        <v>0</v>
      </c>
      <c r="N23" s="13"/>
      <c r="O23" s="10"/>
      <c r="P23" s="38">
        <f>IF(D22&lt;=$D$8,IF(D23=0,$D$6,$D$5),0)</f>
        <v>4</v>
      </c>
      <c r="Q23" s="39">
        <f aca="true" t="shared" si="1" ref="Q23:X23">IF(E22&lt;=$D$8,IF(E23=0,$D$6,$D$5),0)</f>
        <v>4</v>
      </c>
      <c r="R23" s="39">
        <f t="shared" si="1"/>
        <v>4</v>
      </c>
      <c r="S23" s="39">
        <f t="shared" si="1"/>
        <v>4</v>
      </c>
      <c r="T23" s="39">
        <f t="shared" si="1"/>
        <v>4</v>
      </c>
      <c r="U23" s="39">
        <f t="shared" si="1"/>
        <v>4</v>
      </c>
      <c r="V23" s="39">
        <f t="shared" si="1"/>
        <v>4</v>
      </c>
      <c r="W23" s="39">
        <f t="shared" si="1"/>
        <v>4</v>
      </c>
      <c r="X23" s="39">
        <f t="shared" si="1"/>
        <v>4</v>
      </c>
      <c r="Y23" s="39">
        <f>IF(M22&lt;=$D$8,IF(M23=0,$D$6,$D$5),0)</f>
        <v>0</v>
      </c>
      <c r="AA23" s="39">
        <f>SUM(P23:Y23)</f>
        <v>36</v>
      </c>
      <c r="AB23" s="5" t="s">
        <v>20</v>
      </c>
    </row>
    <row r="24" spans="2:25" ht="12.75">
      <c r="B24" s="7"/>
      <c r="C24" s="10"/>
      <c r="D24" s="42" t="s">
        <v>28</v>
      </c>
      <c r="E24" s="10"/>
      <c r="F24" s="10"/>
      <c r="G24" s="10"/>
      <c r="H24" s="10"/>
      <c r="I24" s="10"/>
      <c r="J24" s="10"/>
      <c r="K24" s="10"/>
      <c r="L24" s="10"/>
      <c r="M24" s="10"/>
      <c r="N24" s="13"/>
      <c r="O24" s="10"/>
      <c r="P24" s="38">
        <f>$D$7*P23*1/2</f>
        <v>60</v>
      </c>
      <c r="Q24" s="39">
        <f>$D$7*Q23*3/2</f>
        <v>180</v>
      </c>
      <c r="R24" s="39">
        <f>$D$7*R23*5/2</f>
        <v>300</v>
      </c>
      <c r="S24" s="39">
        <f>$D$7*S23*7/2</f>
        <v>420</v>
      </c>
      <c r="T24" s="39">
        <f>$D$7*T23*9/2</f>
        <v>540</v>
      </c>
      <c r="U24" s="39">
        <f>$D$7*U23*11/2</f>
        <v>660</v>
      </c>
      <c r="V24" s="39">
        <f>$D$7*V23*13/2</f>
        <v>780</v>
      </c>
      <c r="W24" s="39">
        <f>$D$7*W23*15/2</f>
        <v>900</v>
      </c>
      <c r="X24" s="39">
        <f>$D$7*X23*17/2</f>
        <v>1020</v>
      </c>
      <c r="Y24" s="39">
        <f>$D$7*Y23*19/2</f>
        <v>0</v>
      </c>
    </row>
    <row r="25" spans="2:28" ht="13.5" thickBot="1">
      <c r="B25" s="7"/>
      <c r="C25" s="10"/>
      <c r="D25" s="42">
        <f>$D$7</f>
        <v>30</v>
      </c>
      <c r="E25" s="10"/>
      <c r="F25" s="10"/>
      <c r="G25" s="10"/>
      <c r="H25" s="42" t="s">
        <v>29</v>
      </c>
      <c r="I25" s="10"/>
      <c r="J25" s="10"/>
      <c r="K25" s="10"/>
      <c r="L25" s="10"/>
      <c r="M25" s="10"/>
      <c r="N25" s="13"/>
      <c r="O25" s="10"/>
      <c r="P25" s="38">
        <f>IF(D22&lt;=$D$8,P24,0)</f>
        <v>60</v>
      </c>
      <c r="Q25" s="39">
        <f>IF(E22&lt;=$D$8,Q24,0)</f>
        <v>180</v>
      </c>
      <c r="R25" s="39">
        <f>IF(F22&lt;=$D$8,R24,0)</f>
        <v>300</v>
      </c>
      <c r="S25" s="39">
        <f>IF(G22&lt;=$D$8,S24,0)</f>
        <v>420</v>
      </c>
      <c r="T25" s="39">
        <f>IF(H22&lt;=$D$8,T24,0)</f>
        <v>540</v>
      </c>
      <c r="U25" s="39">
        <f>IF(I22&lt;=$D$8,U24,0)</f>
        <v>660</v>
      </c>
      <c r="V25" s="39">
        <f>IF(J22&lt;=$D$8,V24,0)</f>
        <v>780</v>
      </c>
      <c r="W25" s="39">
        <f>IF(K22&lt;=$D$8,W24,0)</f>
        <v>900</v>
      </c>
      <c r="X25" s="39">
        <f>IF(L22&lt;=$D$8,X24,0)</f>
        <v>1020</v>
      </c>
      <c r="Y25" s="39">
        <f>IF(L22&lt;=$D$8,Y24,0)</f>
        <v>0</v>
      </c>
      <c r="Z25" s="39">
        <f>SUM(P25:Y25)</f>
        <v>4860</v>
      </c>
      <c r="AB25" s="5" t="s">
        <v>26</v>
      </c>
    </row>
    <row r="26" spans="2:15" ht="13.5" thickBot="1">
      <c r="B26" s="7"/>
      <c r="C26" s="42" t="s">
        <v>30</v>
      </c>
      <c r="D26" s="10"/>
      <c r="E26" s="42" t="s">
        <v>31</v>
      </c>
      <c r="F26" s="10"/>
      <c r="G26" s="10"/>
      <c r="H26" s="42">
        <f>$D$3</f>
        <v>2530</v>
      </c>
      <c r="I26" s="43" t="s">
        <v>32</v>
      </c>
      <c r="J26" s="44"/>
      <c r="K26" s="45">
        <f>AA31</f>
        <v>2602</v>
      </c>
      <c r="L26" s="10" t="s">
        <v>1</v>
      </c>
      <c r="M26" s="10"/>
      <c r="N26" s="13"/>
      <c r="O26" s="10"/>
    </row>
    <row r="27" spans="2:27" ht="12.75">
      <c r="B27" s="7"/>
      <c r="C27" s="42">
        <f>$D$10</f>
        <v>263</v>
      </c>
      <c r="D27" s="10"/>
      <c r="E27" s="42">
        <f>$D$9</f>
        <v>158</v>
      </c>
      <c r="F27" s="10"/>
      <c r="G27" s="10"/>
      <c r="H27" s="10"/>
      <c r="I27" s="10"/>
      <c r="J27" s="10"/>
      <c r="K27" s="10"/>
      <c r="L27" s="10"/>
      <c r="M27" s="10"/>
      <c r="N27" s="13"/>
      <c r="O27" s="10"/>
      <c r="Z27" s="39">
        <f>$D$9*$D$3</f>
        <v>399740</v>
      </c>
      <c r="AA27" s="39">
        <f>AA17+AA23</f>
        <v>72</v>
      </c>
    </row>
    <row r="28" spans="2:15" ht="13.5" thickBot="1">
      <c r="B28" s="7"/>
      <c r="C28" s="10"/>
      <c r="D28" s="10"/>
      <c r="E28" s="10"/>
      <c r="F28" s="10"/>
      <c r="G28" s="42" t="s">
        <v>33</v>
      </c>
      <c r="H28" s="10"/>
      <c r="I28" s="10"/>
      <c r="J28" s="10"/>
      <c r="K28" s="10"/>
      <c r="L28" s="10"/>
      <c r="M28" s="10"/>
      <c r="N28" s="13"/>
      <c r="O28" s="10"/>
    </row>
    <row r="29" spans="2:26" ht="13.5" thickBot="1">
      <c r="B29" s="7"/>
      <c r="C29" s="46" t="s">
        <v>34</v>
      </c>
      <c r="D29" s="10"/>
      <c r="E29" s="10"/>
      <c r="F29" s="10"/>
      <c r="G29" s="42">
        <f>+$D$4</f>
        <v>105</v>
      </c>
      <c r="H29" s="10"/>
      <c r="I29" s="10"/>
      <c r="J29" s="10"/>
      <c r="K29" s="10"/>
      <c r="L29" s="10"/>
      <c r="M29" s="10"/>
      <c r="N29" s="13"/>
      <c r="O29" s="10"/>
      <c r="X29" s="47" t="s">
        <v>35</v>
      </c>
      <c r="Y29" s="48"/>
      <c r="Z29" s="49">
        <v>1656</v>
      </c>
    </row>
    <row r="30" spans="2:15" ht="13.5" thickBot="1">
      <c r="B30" s="7"/>
      <c r="C30" s="46">
        <f>$D$11</f>
        <v>180</v>
      </c>
      <c r="D30" s="10"/>
      <c r="E30" s="10"/>
      <c r="F30" s="50"/>
      <c r="G30" s="10"/>
      <c r="H30" s="10"/>
      <c r="I30" s="10"/>
      <c r="J30" s="10"/>
      <c r="K30" s="10"/>
      <c r="L30" s="10"/>
      <c r="M30" s="10"/>
      <c r="N30" s="13"/>
      <c r="O30" s="10"/>
    </row>
    <row r="31" spans="2:28" ht="13.5" thickBot="1">
      <c r="B31" s="7"/>
      <c r="C31" s="51">
        <f>AD16</f>
        <v>180</v>
      </c>
      <c r="D31" s="43" t="s">
        <v>36</v>
      </c>
      <c r="E31" s="44"/>
      <c r="F31" s="52">
        <f>$D$4-AB32</f>
        <v>105</v>
      </c>
      <c r="G31" s="53">
        <f>AB32</f>
        <v>0</v>
      </c>
      <c r="H31" s="10"/>
      <c r="I31" s="43" t="s">
        <v>37</v>
      </c>
      <c r="J31" s="54"/>
      <c r="K31" s="55">
        <f>($AA$31/$D$12)/3.058</f>
        <v>13.295045781556574</v>
      </c>
      <c r="L31" s="10" t="s">
        <v>38</v>
      </c>
      <c r="N31" s="13"/>
      <c r="O31" s="10"/>
      <c r="Z31" s="56">
        <f>Z19+Z25+Z27+Z29</f>
        <v>411116</v>
      </c>
      <c r="AA31" s="39">
        <f>$D$3+AA27</f>
        <v>2602</v>
      </c>
      <c r="AB31" s="57">
        <f>Z31/AA31</f>
        <v>158</v>
      </c>
    </row>
    <row r="32" spans="2:28" ht="13.5" thickBot="1">
      <c r="B32" s="58"/>
      <c r="C32" s="59"/>
      <c r="D32" s="59"/>
      <c r="E32" s="59"/>
      <c r="F32" s="59"/>
      <c r="G32" s="59"/>
      <c r="H32" s="60" t="s">
        <v>39</v>
      </c>
      <c r="I32" s="59"/>
      <c r="J32" s="59"/>
      <c r="K32" s="59"/>
      <c r="L32" s="59"/>
      <c r="M32" s="59"/>
      <c r="N32" s="61"/>
      <c r="O32" s="10"/>
      <c r="AB32" s="62">
        <f>$D$9-AB31</f>
        <v>0</v>
      </c>
    </row>
    <row r="33" ht="12.75"/>
    <row r="34" ht="13.5" thickBot="1"/>
    <row r="35" spans="3:11" ht="13.5" thickBot="1">
      <c r="C35" s="67" t="s">
        <v>40</v>
      </c>
      <c r="D35" s="63">
        <f>(AA31*$D$9)-(Z19+Z25+Z27)</f>
        <v>1656</v>
      </c>
      <c r="F35" s="64" t="s">
        <v>41</v>
      </c>
      <c r="G35" s="65"/>
      <c r="H35" s="65"/>
      <c r="I35" s="65"/>
      <c r="J35" s="65"/>
      <c r="K35" s="66"/>
    </row>
    <row r="36" ht="12.75"/>
    <row r="37" ht="12.75" customHeight="1"/>
    <row r="38" ht="13.5" customHeight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 customHeight="1"/>
    <row r="69" ht="13.5" customHeight="1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mergeCells count="9">
    <mergeCell ref="F35:K35"/>
    <mergeCell ref="I26:J26"/>
    <mergeCell ref="X29:Y29"/>
    <mergeCell ref="D31:E31"/>
    <mergeCell ref="I31:J31"/>
    <mergeCell ref="G3:H3"/>
    <mergeCell ref="J5:J6"/>
    <mergeCell ref="D14:M14"/>
    <mergeCell ref="D20:M20"/>
  </mergeCells>
  <conditionalFormatting sqref="D22:M22 D16:M16">
    <cfRule type="cellIs" priority="1" dxfId="0" operator="lessThanOrEqual" stopIfTrue="1">
      <formula>$D$8</formula>
    </cfRule>
  </conditionalFormatting>
  <conditionalFormatting sqref="D17:L19 M17 D23:M23">
    <cfRule type="cellIs" priority="2" dxfId="1" operator="equal" stopIfTrue="1">
      <formula>1</formula>
    </cfRule>
  </conditionalFormatting>
  <conditionalFormatting sqref="J5:J6">
    <cfRule type="cellIs" priority="3" dxfId="2" operator="greaterThan" stopIfTrue="1">
      <formula>$D$8*2</formula>
    </cfRule>
  </conditionalFormatting>
  <dataValidations count="20">
    <dataValidation type="custom" operator="lessThanOrEqual" showErrorMessage="1" error="Too Many Ballast Positions in Use&#10;    Click 'Cancel' to clear" sqref="D23">
      <formula1>(D22&lt;=D16)</formula1>
    </dataValidation>
    <dataValidation type="custom" operator="lessThanOrEqual" allowBlank="1" showErrorMessage="1" error="Too Many Ballast Positions in Use&#10;    Click 'Cancel' to clear" sqref="E23">
      <formula1>E22&lt;=D8</formula1>
    </dataValidation>
    <dataValidation type="custom" operator="lessThanOrEqual" showInputMessage="1" showErrorMessage="1" error="Too Many Ballast Positions in Use&#10;    Click 'Cancel' to clear" sqref="F17">
      <formula1>(F16&lt;=D8)</formula1>
    </dataValidation>
    <dataValidation type="custom" operator="lessThanOrEqual" showInputMessage="1" showErrorMessage="1" error="Too Many Ballast Positions in Use&#10;    Click 'Cancel' to clear" sqref="G17">
      <formula1>(G16&lt;=D8)</formula1>
    </dataValidation>
    <dataValidation type="custom" operator="lessThanOrEqual" showInputMessage="1" showErrorMessage="1" error="Too Many Ballast Positions in Use&#10;    Click 'Cancel' to clear" sqref="H17">
      <formula1>(H16&lt;=D8)</formula1>
    </dataValidation>
    <dataValidation type="custom" operator="lessThanOrEqual" allowBlank="1" showErrorMessage="1" prompt="Too Many Ballast Positions ( 3 )" error="Too Many Ballast Positions in Use&#10;    Click 'Cancel' to clear" sqref="F23">
      <formula1>F22&lt;=D8</formula1>
    </dataValidation>
    <dataValidation type="custom" operator="lessThanOrEqual" allowBlank="1" showErrorMessage="1" prompt="Too Many Ballast Positions ( 4 )" error="Too Many Ballast Positions in Use&#10;    Click 'Cancel' to clear" sqref="G23">
      <formula1>(G22&lt;=D8)</formula1>
    </dataValidation>
    <dataValidation type="custom" operator="lessThanOrEqual" allowBlank="1" showErrorMessage="1" prompt="Too Many Ballast Positions ( 5 )" error="Too Many Ballast Positions in Use&#10;    Click 'Cancel' to clear" sqref="H23">
      <formula1>(H22&lt;=D8)</formula1>
    </dataValidation>
    <dataValidation type="custom" operator="lessThanOrEqual" allowBlank="1" showErrorMessage="1" prompt="Too many Ballast Positions ( 9 )" error="Too Many Ballast Positions in Use&#10;    Click 'Cancel' to clear" sqref="L23:M23">
      <formula1>(L22&lt;=D8)</formula1>
    </dataValidation>
    <dataValidation type="custom" operator="lessThanOrEqual" showInputMessage="1" showErrorMessage="1" error="Too Many Ballast Positions in Use&#10;    Click 'Cancel' to clear" sqref="I17">
      <formula1>(I16&lt;=D8)</formula1>
    </dataValidation>
    <dataValidation type="custom" operator="lessThanOrEqual" showInputMessage="1" showErrorMessage="1" error="Too Many Ballast Positions in Use&#10;    Click 'Cancel' to clear" sqref="J17">
      <formula1>(J16&lt;=D8)</formula1>
    </dataValidation>
    <dataValidation type="custom" operator="lessThanOrEqual" showInputMessage="1" showErrorMessage="1" error="Too Many Ballast Positions in Use&#10;    Click 'Cancel' to clear" sqref="K17">
      <formula1>K16&lt;=D8</formula1>
    </dataValidation>
    <dataValidation type="custom" operator="lessThanOrEqual" allowBlank="1" showInputMessage="1" showErrorMessage="1" error="Too Many Ballast Positions in Use&#10;    Click 'Cancel' to clear" sqref="L17:M17">
      <formula1>L16&lt;=D8</formula1>
    </dataValidation>
    <dataValidation type="custom" operator="lessThanOrEqual" allowBlank="1" showErrorMessage="1" prompt="Too many Ballast Positions ( 6 )" error="Too Many Ballast Positions in Use&#10;    Click 'Cancel' to clear" sqref="I23">
      <formula1>(I22&lt;=D8)</formula1>
    </dataValidation>
    <dataValidation type="custom" operator="lessThanOrEqual" allowBlank="1" showErrorMessage="1" prompt="Too many Ballast Positions ( 7 )" error="Too Many Ballast Positions in Use&#10;    Click 'Cancel' to clear" sqref="J23">
      <formula1>(J22&lt;=D8)</formula1>
    </dataValidation>
    <dataValidation type="custom" operator="lessThanOrEqual" allowBlank="1" showErrorMessage="1" prompt="Too many Ballast Positions ( 8 )" error="Too Many Ballast Positions in Use&#10;    Click 'Cancel' to clear" sqref="K23">
      <formula1>(K22&lt;=D8)</formula1>
    </dataValidation>
    <dataValidation type="custom" operator="lessThanOrEqual" showInputMessage="1" showErrorMessage="1" error="Too Many Ballast Positions in Use&#10;    Click 'Cancel' to clear" sqref="E17">
      <formula1>(E16&lt;=D8)</formula1>
    </dataValidation>
    <dataValidation type="custom" operator="lessThanOrEqual" showInputMessage="1" showErrorMessage="1" error="Too Many Ballast Positions in Use&#10;    Click 'Cancel' to clear" sqref="D17">
      <formula1>(D16&lt;=D8)</formula1>
    </dataValidation>
    <dataValidation type="whole" allowBlank="1" showInputMessage="1" showErrorMessage="1" errorTitle="Ballast Numbers" error="Too many Ballast positions entered!" sqref="A1">
      <formula1>0</formula1>
      <formula2>D8*2</formula2>
    </dataValidation>
    <dataValidation type="whole" allowBlank="1" showInputMessage="1" showErrorMessage="1" errorTitle="Ballast Numbers" error="Too many Ballsts postions used!" sqref="J5:J6">
      <formula1>0</formula1>
      <formula2>D8*2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 Edison</dc:creator>
  <cp:keywords/>
  <dc:description/>
  <cp:lastModifiedBy>J P Edison</cp:lastModifiedBy>
  <dcterms:created xsi:type="dcterms:W3CDTF">2005-08-19T18:57:31Z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